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B4D264DF-7110-4641-8E44-05F4DF3169B5}" xr6:coauthVersionLast="36" xr6:coauthVersionMax="36" xr10:uidLastSave="{00000000-0000-0000-0000-000000000000}"/>
  <bookViews>
    <workbookView xWindow="0" yWindow="0" windowWidth="19200" windowHeight="7620" tabRatio="911" activeTab="3" xr2:uid="{00000000-000D-0000-FFFF-FFFF00000000}"/>
  </bookViews>
  <sheets>
    <sheet name="Summary YTD 07.31.18 (condensd)" sheetId="16" r:id="rId1"/>
    <sheet name="Summary YTD 07.31.18" sheetId="11" r:id="rId2"/>
    <sheet name="Comparative YTD 2018-2017 July" sheetId="12" r:id="rId3"/>
    <sheet name="Comp Summary YTD 2018-2017 July" sheetId="15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" sheetId="2" r:id="rId11"/>
  </sheets>
  <externalReferences>
    <externalReference r:id="rId12"/>
    <externalReference r:id="rId13"/>
    <externalReference r:id="rId14"/>
    <externalReference r:id="rId15"/>
  </externalReferences>
  <definedNames>
    <definedName name="_xlnm.Print_Area" localSheetId="9">'722 Bedford St'!$A$1:$I$29</definedName>
    <definedName name="_xlnm.Print_Area" localSheetId="7">'BSC (Dome)'!$A$1:$I$82</definedName>
    <definedName name="_xlnm.Print_Area" localSheetId="10">CNT!$A$1:$N$270</definedName>
    <definedName name="_xlnm.Print_Area" localSheetId="3">'Comp Summary YTD 2018-2017 July'!$A$9:$AE$37</definedName>
    <definedName name="_xlnm.Print_Area" localSheetId="2">'Comparative YTD 2018-2017 July'!$A$5:$AF$116</definedName>
    <definedName name="_xlnm.Print_Area" localSheetId="4">DEP!$A$1:$I$76</definedName>
    <definedName name="_xlnm.Print_Area" localSheetId="8">'Oliari Co.'!$A$1:$I$28</definedName>
    <definedName name="_xlnm.Print_Area" localSheetId="1">'Summary YTD 07.31.18'!$A$1:$I$107</definedName>
    <definedName name="_xlnm.Print_Area" localSheetId="0">'Summary YTD 07.31.18 (condensd)'!$A$1:$I$63</definedName>
    <definedName name="_xlnm.Print_Titles" localSheetId="10">CNT!$A:$A,CNT!$1:$3</definedName>
    <definedName name="_xlnm.Print_Titles" localSheetId="3">'Comp Summary YTD 2018-2017 July'!$9:$18</definedName>
    <definedName name="_xlnm.Print_Titles" localSheetId="2">'Comparative YTD 2018-2017 July'!$5:$14</definedName>
    <definedName name="_xlnm.Print_Titles" localSheetId="1">'Summary YTD 07.31.18'!$1:$6</definedName>
    <definedName name="_xlnm.Print_Titles" localSheetId="0">'Summary YTD 07.31.18 (condensd)'!$1:$6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5" i="2" l="1"/>
  <c r="G185" i="2"/>
  <c r="B249" i="2"/>
  <c r="B264" i="2"/>
  <c r="C264" i="2"/>
  <c r="D264" i="2"/>
  <c r="E264" i="2"/>
  <c r="F264" i="2"/>
  <c r="G264" i="2"/>
  <c r="H32" i="2" l="1"/>
  <c r="N263" i="2"/>
  <c r="H264" i="2"/>
  <c r="N181" i="2"/>
  <c r="B104" i="11" l="1"/>
  <c r="B60" i="16" s="1"/>
  <c r="B113" i="12"/>
  <c r="H38" i="5"/>
  <c r="H34" i="5"/>
  <c r="H8" i="5"/>
  <c r="G73" i="5"/>
  <c r="G66" i="5"/>
  <c r="G53" i="5"/>
  <c r="G38" i="5"/>
  <c r="G35" i="5"/>
  <c r="G68" i="5" s="1"/>
  <c r="G34" i="5"/>
  <c r="G23" i="5"/>
  <c r="G8" i="5"/>
  <c r="G17" i="5" s="1"/>
  <c r="G25" i="5" s="1"/>
  <c r="G75" i="5" s="1"/>
  <c r="G78" i="5" s="1"/>
  <c r="I104" i="11" l="1"/>
  <c r="I113" i="12"/>
  <c r="I27" i="6"/>
  <c r="C23" i="11" s="1"/>
  <c r="C31" i="12" l="1"/>
  <c r="N252" i="2" l="1"/>
  <c r="H72" i="2"/>
  <c r="H71" i="2"/>
  <c r="H33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G123" i="2"/>
  <c r="G199" i="2"/>
  <c r="G218" i="2"/>
  <c r="G249" i="2"/>
  <c r="H218" i="2"/>
  <c r="H69" i="2" s="1"/>
  <c r="H198" i="2"/>
  <c r="H197" i="2"/>
  <c r="H196" i="2"/>
  <c r="H195" i="2"/>
  <c r="H194" i="2"/>
  <c r="H193" i="2"/>
  <c r="H192" i="2"/>
  <c r="H191" i="2"/>
  <c r="H190" i="2"/>
  <c r="N184" i="2"/>
  <c r="H185" i="2"/>
  <c r="H89" i="2"/>
  <c r="H88" i="2"/>
  <c r="H64" i="2"/>
  <c r="H90" i="2" s="1"/>
  <c r="H62" i="2"/>
  <c r="H61" i="2"/>
  <c r="H60" i="2"/>
  <c r="H59" i="2"/>
  <c r="H58" i="2"/>
  <c r="H87" i="2" s="1"/>
  <c r="H57" i="2"/>
  <c r="H86" i="2" s="1"/>
  <c r="H54" i="2"/>
  <c r="H53" i="2"/>
  <c r="H52" i="2"/>
  <c r="H82" i="2" s="1"/>
  <c r="H51" i="2"/>
  <c r="H81" i="2" s="1"/>
  <c r="H40" i="2"/>
  <c r="H39" i="2"/>
  <c r="H38" i="2"/>
  <c r="H10" i="2"/>
  <c r="H9" i="2"/>
  <c r="H8" i="2"/>
  <c r="H7" i="2"/>
  <c r="H6" i="2"/>
  <c r="H5" i="2"/>
  <c r="H199" i="2" l="1"/>
  <c r="H68" i="2" s="1"/>
  <c r="H11" i="2"/>
  <c r="H34" i="2"/>
  <c r="G43" i="10"/>
  <c r="H41" i="10"/>
  <c r="G80" i="10"/>
  <c r="G70" i="10"/>
  <c r="G56" i="10"/>
  <c r="G32" i="10"/>
  <c r="G18" i="10"/>
  <c r="G14" i="10"/>
  <c r="G20" i="10" s="1"/>
  <c r="H35" i="2" l="1"/>
  <c r="G72" i="10"/>
  <c r="G82" i="10" s="1"/>
  <c r="G85" i="10" s="1"/>
  <c r="Q107" i="12"/>
  <c r="Q81" i="12"/>
  <c r="Q63" i="12"/>
  <c r="Q58" i="12"/>
  <c r="Q59" i="12"/>
  <c r="Q40" i="12"/>
  <c r="Q22" i="12"/>
  <c r="G18" i="7"/>
  <c r="G11" i="7"/>
  <c r="I25" i="6"/>
  <c r="H12" i="6"/>
  <c r="G57" i="6"/>
  <c r="G51" i="6"/>
  <c r="G42" i="6"/>
  <c r="G34" i="6"/>
  <c r="G15" i="6"/>
  <c r="N26" i="12"/>
  <c r="N32" i="12"/>
  <c r="N29" i="12"/>
  <c r="N28" i="12"/>
  <c r="N27" i="12"/>
  <c r="T27" i="12" s="1"/>
  <c r="Z27" i="12" s="1"/>
  <c r="N17" i="12"/>
  <c r="N16" i="12"/>
  <c r="N22" i="12"/>
  <c r="G27" i="17"/>
  <c r="G17" i="17"/>
  <c r="G12" i="17"/>
  <c r="G19" i="17" s="1"/>
  <c r="R107" i="12"/>
  <c r="R101" i="12"/>
  <c r="T101" i="12" s="1"/>
  <c r="Z101" i="12" s="1"/>
  <c r="R49" i="12"/>
  <c r="G26" i="14"/>
  <c r="G16" i="14"/>
  <c r="G12" i="14"/>
  <c r="G18" i="14" s="1"/>
  <c r="G28" i="14" s="1"/>
  <c r="I10" i="14"/>
  <c r="M29" i="12"/>
  <c r="M28" i="12"/>
  <c r="M27" i="12"/>
  <c r="M26" i="12"/>
  <c r="M32" i="12"/>
  <c r="M22" i="12"/>
  <c r="T22" i="12" s="1"/>
  <c r="Z22" i="12" s="1"/>
  <c r="M30" i="12"/>
  <c r="M20" i="12"/>
  <c r="M19" i="12"/>
  <c r="M18" i="12"/>
  <c r="M23" i="12" s="1"/>
  <c r="M17" i="12"/>
  <c r="M16" i="12"/>
  <c r="T119" i="12"/>
  <c r="I68" i="11"/>
  <c r="AF86" i="12"/>
  <c r="AF85" i="12"/>
  <c r="AF84" i="12"/>
  <c r="B199" i="2"/>
  <c r="B68" i="2" s="1"/>
  <c r="C199" i="2"/>
  <c r="D199" i="2"/>
  <c r="E199" i="2"/>
  <c r="F199" i="2"/>
  <c r="F68" i="2" s="1"/>
  <c r="G42" i="2"/>
  <c r="G41" i="2"/>
  <c r="G40" i="2"/>
  <c r="G39" i="2"/>
  <c r="G38" i="2"/>
  <c r="G20" i="2"/>
  <c r="G18" i="2"/>
  <c r="G8" i="2"/>
  <c r="N260" i="2"/>
  <c r="B101" i="11" s="1"/>
  <c r="N241" i="2"/>
  <c r="B65" i="11" s="1"/>
  <c r="B73" i="12"/>
  <c r="C249" i="2"/>
  <c r="C70" i="2" s="1"/>
  <c r="D249" i="2"/>
  <c r="F249" i="2"/>
  <c r="N248" i="2"/>
  <c r="B218" i="2"/>
  <c r="B69" i="2" s="1"/>
  <c r="C218" i="2"/>
  <c r="D218" i="2"/>
  <c r="E218" i="2"/>
  <c r="E69" i="2" s="1"/>
  <c r="F218" i="2"/>
  <c r="C185" i="2"/>
  <c r="N157" i="2"/>
  <c r="N183" i="2"/>
  <c r="N182" i="2"/>
  <c r="G57" i="2"/>
  <c r="G59" i="2"/>
  <c r="G60" i="2"/>
  <c r="G62" i="2"/>
  <c r="G64" i="2"/>
  <c r="G51" i="2"/>
  <c r="G52" i="2"/>
  <c r="G82" i="2" s="1"/>
  <c r="G53" i="2"/>
  <c r="G54" i="2"/>
  <c r="G61" i="2"/>
  <c r="G58" i="2"/>
  <c r="I60" i="5"/>
  <c r="D75" i="11" s="1"/>
  <c r="C23" i="5"/>
  <c r="D23" i="5"/>
  <c r="E23" i="5"/>
  <c r="F23" i="5"/>
  <c r="H23" i="5"/>
  <c r="B23" i="5"/>
  <c r="I22" i="5"/>
  <c r="I16" i="5"/>
  <c r="I15" i="5"/>
  <c r="C17" i="5"/>
  <c r="D17" i="5"/>
  <c r="E17" i="5"/>
  <c r="F17" i="5"/>
  <c r="F25" i="5" s="1"/>
  <c r="B17" i="5"/>
  <c r="H17" i="5"/>
  <c r="D84" i="12"/>
  <c r="H18" i="7"/>
  <c r="I16" i="7"/>
  <c r="E84" i="12" s="1"/>
  <c r="I17" i="7"/>
  <c r="F27" i="17"/>
  <c r="F17" i="17"/>
  <c r="F12" i="17"/>
  <c r="F26" i="14"/>
  <c r="F16" i="14"/>
  <c r="F12" i="14"/>
  <c r="F18" i="14" s="1"/>
  <c r="F28" i="14" s="1"/>
  <c r="F80" i="10"/>
  <c r="F70" i="10"/>
  <c r="F43" i="10"/>
  <c r="F56" i="10" s="1"/>
  <c r="F32" i="10"/>
  <c r="F18" i="10"/>
  <c r="F14" i="10"/>
  <c r="F20" i="10" s="1"/>
  <c r="I9" i="7"/>
  <c r="F18" i="7"/>
  <c r="F20" i="7" s="1"/>
  <c r="F11" i="7"/>
  <c r="H42" i="6"/>
  <c r="I8" i="6"/>
  <c r="F57" i="6"/>
  <c r="F51" i="6"/>
  <c r="F42" i="6"/>
  <c r="F29" i="6"/>
  <c r="F12" i="6"/>
  <c r="F15" i="6" s="1"/>
  <c r="I72" i="5"/>
  <c r="I71" i="5"/>
  <c r="D92" i="11" s="1"/>
  <c r="D105" i="11" s="1"/>
  <c r="I57" i="5"/>
  <c r="D79" i="12" s="1"/>
  <c r="I58" i="5"/>
  <c r="I59" i="5"/>
  <c r="I61" i="5"/>
  <c r="D82" i="12" s="1"/>
  <c r="I62" i="5"/>
  <c r="D83" i="12" s="1"/>
  <c r="I64" i="5"/>
  <c r="I65" i="5"/>
  <c r="I56" i="5"/>
  <c r="I40" i="5"/>
  <c r="D56" i="12" s="1"/>
  <c r="I41" i="5"/>
  <c r="I42" i="5"/>
  <c r="I43" i="5"/>
  <c r="D52" i="11" s="1"/>
  <c r="I44" i="5"/>
  <c r="D53" i="11" s="1"/>
  <c r="D26" i="16" s="1"/>
  <c r="I45" i="5"/>
  <c r="I46" i="5"/>
  <c r="I47" i="5"/>
  <c r="D71" i="12" s="1"/>
  <c r="I48" i="5"/>
  <c r="D65" i="12" s="1"/>
  <c r="I49" i="5"/>
  <c r="I50" i="5"/>
  <c r="I51" i="5"/>
  <c r="D64" i="11" s="1"/>
  <c r="I52" i="5"/>
  <c r="D65" i="11" s="1"/>
  <c r="I30" i="5"/>
  <c r="D42" i="12" s="1"/>
  <c r="I31" i="5"/>
  <c r="I32" i="5"/>
  <c r="D36" i="11" s="1"/>
  <c r="I33" i="5"/>
  <c r="D45" i="12" s="1"/>
  <c r="I29" i="5"/>
  <c r="D40" i="12" s="1"/>
  <c r="I21" i="5"/>
  <c r="I20" i="5"/>
  <c r="I9" i="5"/>
  <c r="I10" i="5"/>
  <c r="I14" i="5"/>
  <c r="I11" i="5"/>
  <c r="I12" i="5"/>
  <c r="I13" i="5"/>
  <c r="I8" i="5"/>
  <c r="H73" i="5"/>
  <c r="H66" i="5"/>
  <c r="H53" i="5"/>
  <c r="H66" i="16"/>
  <c r="I66" i="16" s="1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G27" i="11" s="1"/>
  <c r="I16" i="17"/>
  <c r="H79" i="12" s="1"/>
  <c r="H96" i="12" s="1"/>
  <c r="H32" i="15" s="1"/>
  <c r="G49" i="12"/>
  <c r="G30" i="15" s="1"/>
  <c r="G33" i="12"/>
  <c r="G23" i="12"/>
  <c r="R96" i="12"/>
  <c r="Q32" i="15" s="1"/>
  <c r="R74" i="12"/>
  <c r="Q31" i="15" s="1"/>
  <c r="R33" i="12"/>
  <c r="Q24" i="15" s="1"/>
  <c r="Q25" i="15" s="1"/>
  <c r="R23" i="12"/>
  <c r="I11" i="17"/>
  <c r="I23" i="17"/>
  <c r="I24" i="17"/>
  <c r="I27" i="17" s="1"/>
  <c r="I25" i="17"/>
  <c r="I26" i="17"/>
  <c r="I22" i="17"/>
  <c r="I10" i="17"/>
  <c r="H55" i="11" s="1"/>
  <c r="C17" i="17"/>
  <c r="D17" i="17"/>
  <c r="D19" i="17" s="1"/>
  <c r="E17" i="17"/>
  <c r="H17" i="17"/>
  <c r="B17" i="17"/>
  <c r="H27" i="17"/>
  <c r="E27" i="17"/>
  <c r="D27" i="17"/>
  <c r="C27" i="17"/>
  <c r="B27" i="17"/>
  <c r="H12" i="17"/>
  <c r="E12" i="17"/>
  <c r="D12" i="17"/>
  <c r="C12" i="17"/>
  <c r="B12" i="17"/>
  <c r="B19" i="17" s="1"/>
  <c r="B29" i="17" s="1"/>
  <c r="G20" i="15"/>
  <c r="G21" i="15" s="1"/>
  <c r="Q20" i="15"/>
  <c r="Q21" i="15" s="1"/>
  <c r="H70" i="11"/>
  <c r="H40" i="16" s="1"/>
  <c r="I17" i="17"/>
  <c r="C19" i="17"/>
  <c r="C29" i="17" s="1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C22" i="16"/>
  <c r="E22" i="16"/>
  <c r="C23" i="16"/>
  <c r="E23" i="16"/>
  <c r="C18" i="16"/>
  <c r="E18" i="16"/>
  <c r="C17" i="16"/>
  <c r="E17" i="16"/>
  <c r="E19" i="16" s="1"/>
  <c r="C16" i="16"/>
  <c r="C19" i="16" s="1"/>
  <c r="E16" i="16"/>
  <c r="H18" i="16"/>
  <c r="I62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/>
  <c r="I23" i="15"/>
  <c r="S22" i="15"/>
  <c r="Y22" i="15" s="1"/>
  <c r="I22" i="15"/>
  <c r="I110" i="11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6" i="14"/>
  <c r="H26" i="14"/>
  <c r="E26" i="14"/>
  <c r="D26" i="14"/>
  <c r="C26" i="14"/>
  <c r="I24" i="14"/>
  <c r="I23" i="14"/>
  <c r="G99" i="11" s="1"/>
  <c r="G57" i="16" s="1"/>
  <c r="I22" i="14"/>
  <c r="I21" i="14"/>
  <c r="H16" i="14"/>
  <c r="E16" i="14"/>
  <c r="D16" i="14"/>
  <c r="C16" i="14"/>
  <c r="C18" i="14" s="1"/>
  <c r="C28" i="14" s="1"/>
  <c r="B16" i="14"/>
  <c r="I15" i="14"/>
  <c r="I11" i="14"/>
  <c r="G67" i="12" s="1"/>
  <c r="G74" i="12" s="1"/>
  <c r="G31" i="15" s="1"/>
  <c r="H12" i="14"/>
  <c r="E12" i="14"/>
  <c r="C12" i="14"/>
  <c r="B12" i="14"/>
  <c r="S114" i="12"/>
  <c r="R35" i="15" s="1"/>
  <c r="Q33" i="12"/>
  <c r="P24" i="15" s="1"/>
  <c r="P25" i="15" s="1"/>
  <c r="Q23" i="12"/>
  <c r="H49" i="12"/>
  <c r="H30" i="15" s="1"/>
  <c r="G73" i="11"/>
  <c r="G87" i="11" s="1"/>
  <c r="G82" i="12"/>
  <c r="G96" i="12" s="1"/>
  <c r="G97" i="11"/>
  <c r="G58" i="16" s="1"/>
  <c r="G108" i="12"/>
  <c r="G55" i="11"/>
  <c r="G28" i="16" s="1"/>
  <c r="G69" i="12"/>
  <c r="H43" i="16"/>
  <c r="E18" i="14"/>
  <c r="E28" i="14" s="1"/>
  <c r="I25" i="14"/>
  <c r="G107" i="12" s="1"/>
  <c r="D12" i="14"/>
  <c r="D18" i="14" s="1"/>
  <c r="D28" i="14" s="1"/>
  <c r="I16" i="14"/>
  <c r="G98" i="11"/>
  <c r="G59" i="16"/>
  <c r="G43" i="16"/>
  <c r="Z50" i="12"/>
  <c r="Z51" i="12"/>
  <c r="Z75" i="12"/>
  <c r="Z76" i="12"/>
  <c r="Z99" i="12"/>
  <c r="Z100" i="12"/>
  <c r="Z104" i="12"/>
  <c r="Z109" i="12"/>
  <c r="Z112" i="12"/>
  <c r="T103" i="12"/>
  <c r="Z103" i="12" s="1"/>
  <c r="D134" i="2"/>
  <c r="F134" i="2"/>
  <c r="F185" i="2" s="1"/>
  <c r="T85" i="12"/>
  <c r="Z85" i="12"/>
  <c r="N131" i="2"/>
  <c r="F19" i="2"/>
  <c r="N19" i="2" s="1"/>
  <c r="N259" i="2"/>
  <c r="B109" i="12" s="1"/>
  <c r="I109" i="12" s="1"/>
  <c r="X109" i="12" s="1"/>
  <c r="N261" i="2"/>
  <c r="B112" i="12" s="1"/>
  <c r="I112" i="12" s="1"/>
  <c r="X112" i="12" s="1"/>
  <c r="N262" i="2"/>
  <c r="B102" i="11" s="1"/>
  <c r="I102" i="11" s="1"/>
  <c r="I264" i="2"/>
  <c r="J264" i="2"/>
  <c r="K264" i="2"/>
  <c r="L264" i="2"/>
  <c r="M264" i="2"/>
  <c r="H249" i="2"/>
  <c r="H70" i="2" s="1"/>
  <c r="I249" i="2"/>
  <c r="I70" i="2" s="1"/>
  <c r="J249" i="2"/>
  <c r="K249" i="2"/>
  <c r="L249" i="2"/>
  <c r="M249" i="2"/>
  <c r="M70" i="2" s="1"/>
  <c r="N254" i="2"/>
  <c r="N247" i="2"/>
  <c r="N246" i="2"/>
  <c r="B55" i="11" s="1"/>
  <c r="B28" i="16" s="1"/>
  <c r="B69" i="12"/>
  <c r="N245" i="2"/>
  <c r="B85" i="12" s="1"/>
  <c r="I85" i="12" s="1"/>
  <c r="N244" i="2"/>
  <c r="N243" i="2"/>
  <c r="B82" i="12" s="1"/>
  <c r="N242" i="2"/>
  <c r="B84" i="12" s="1"/>
  <c r="N217" i="2"/>
  <c r="F5" i="2"/>
  <c r="B100" i="11"/>
  <c r="I100" i="11" s="1"/>
  <c r="B73" i="11"/>
  <c r="B76" i="11"/>
  <c r="I76" i="11" s="1"/>
  <c r="T78" i="12"/>
  <c r="Z78" i="12"/>
  <c r="T69" i="12"/>
  <c r="Z69" i="12" s="1"/>
  <c r="D69" i="12"/>
  <c r="T86" i="12"/>
  <c r="Z86" i="12" s="1"/>
  <c r="D55" i="11"/>
  <c r="D28" i="16" s="1"/>
  <c r="F63" i="5"/>
  <c r="F39" i="5"/>
  <c r="I39" i="5"/>
  <c r="F38" i="5"/>
  <c r="F53" i="5" s="1"/>
  <c r="E73" i="5"/>
  <c r="E66" i="5"/>
  <c r="E38" i="5"/>
  <c r="E53" i="5"/>
  <c r="E35" i="5"/>
  <c r="C18" i="7"/>
  <c r="D18" i="7"/>
  <c r="E18" i="7"/>
  <c r="E20" i="7" s="1"/>
  <c r="B18" i="7"/>
  <c r="I15" i="7"/>
  <c r="E98" i="11" s="1"/>
  <c r="E59" i="16" s="1"/>
  <c r="E11" i="7"/>
  <c r="H34" i="6"/>
  <c r="H36" i="6" s="1"/>
  <c r="C57" i="6"/>
  <c r="D57" i="6"/>
  <c r="E57" i="6"/>
  <c r="H57" i="6"/>
  <c r="B57" i="6"/>
  <c r="I55" i="6"/>
  <c r="C95" i="11" s="1"/>
  <c r="I48" i="6"/>
  <c r="I49" i="6"/>
  <c r="C83" i="12" s="1"/>
  <c r="C29" i="6"/>
  <c r="C34" i="6" s="1"/>
  <c r="C36" i="6" s="1"/>
  <c r="I28" i="6"/>
  <c r="I26" i="6"/>
  <c r="I33" i="6"/>
  <c r="I19" i="6"/>
  <c r="I20" i="6"/>
  <c r="I21" i="6"/>
  <c r="C29" i="12" s="1"/>
  <c r="I22" i="6"/>
  <c r="I23" i="6"/>
  <c r="I24" i="6"/>
  <c r="I30" i="6"/>
  <c r="I31" i="6"/>
  <c r="I32" i="6"/>
  <c r="I18" i="6"/>
  <c r="E107" i="12"/>
  <c r="I11" i="6"/>
  <c r="H15" i="6"/>
  <c r="E51" i="6"/>
  <c r="E42" i="6"/>
  <c r="E34" i="6"/>
  <c r="E36" i="6" s="1"/>
  <c r="E15" i="6"/>
  <c r="S74" i="12"/>
  <c r="R31" i="15"/>
  <c r="T87" i="12"/>
  <c r="T115" i="12"/>
  <c r="Z115" i="12" s="1"/>
  <c r="I115" i="12"/>
  <c r="P114" i="12"/>
  <c r="O114" i="12"/>
  <c r="N35" i="15"/>
  <c r="N114" i="12"/>
  <c r="M35" i="15" s="1"/>
  <c r="T108" i="12"/>
  <c r="Z108" i="12" s="1"/>
  <c r="T106" i="12"/>
  <c r="Z106" i="12" s="1"/>
  <c r="T105" i="12"/>
  <c r="Z105" i="12" s="1"/>
  <c r="T102" i="12"/>
  <c r="Z102" i="12" s="1"/>
  <c r="M114" i="12"/>
  <c r="L35" i="15" s="1"/>
  <c r="T97" i="12"/>
  <c r="Z97" i="12"/>
  <c r="I97" i="12"/>
  <c r="P96" i="12"/>
  <c r="O96" i="12"/>
  <c r="N32" i="15" s="1"/>
  <c r="N96" i="12"/>
  <c r="M32" i="15" s="1"/>
  <c r="M96" i="12"/>
  <c r="L32" i="15" s="1"/>
  <c r="T95" i="12"/>
  <c r="T94" i="12"/>
  <c r="Z94" i="12" s="1"/>
  <c r="T93" i="12"/>
  <c r="Z93" i="12" s="1"/>
  <c r="T92" i="12"/>
  <c r="Z92" i="12" s="1"/>
  <c r="D92" i="12"/>
  <c r="C92" i="12"/>
  <c r="T91" i="12"/>
  <c r="Z91" i="12" s="1"/>
  <c r="T90" i="12"/>
  <c r="Z90" i="12" s="1"/>
  <c r="C90" i="12"/>
  <c r="T89" i="12"/>
  <c r="Z89" i="12" s="1"/>
  <c r="C89" i="12"/>
  <c r="T88" i="12"/>
  <c r="Z88" i="12" s="1"/>
  <c r="T84" i="12"/>
  <c r="T83" i="12"/>
  <c r="Z83" i="12" s="1"/>
  <c r="T82" i="12"/>
  <c r="T80" i="12"/>
  <c r="Z80" i="12" s="1"/>
  <c r="T79" i="12"/>
  <c r="Z79" i="12" s="1"/>
  <c r="T77" i="12"/>
  <c r="Z77" i="12" s="1"/>
  <c r="P74" i="12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/>
  <c r="T67" i="12"/>
  <c r="Z67" i="12" s="1"/>
  <c r="T66" i="12"/>
  <c r="Z66" i="12" s="1"/>
  <c r="T65" i="12"/>
  <c r="Z65" i="12" s="1"/>
  <c r="T64" i="12"/>
  <c r="Z64" i="12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/>
  <c r="O74" i="12"/>
  <c r="N31" i="15" s="1"/>
  <c r="M74" i="12"/>
  <c r="P49" i="12"/>
  <c r="O30" i="15" s="1"/>
  <c r="O49" i="12"/>
  <c r="N30" i="15"/>
  <c r="N33" i="15" s="1"/>
  <c r="N49" i="12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/>
  <c r="T44" i="12"/>
  <c r="Z44" i="12" s="1"/>
  <c r="T43" i="12"/>
  <c r="Z43" i="12" s="1"/>
  <c r="T42" i="12"/>
  <c r="Z42" i="12" s="1"/>
  <c r="T41" i="12"/>
  <c r="S49" i="12"/>
  <c r="R30" i="15"/>
  <c r="T39" i="12"/>
  <c r="Z39" i="12" s="1"/>
  <c r="I39" i="12"/>
  <c r="T38" i="12"/>
  <c r="Z38" i="12" s="1"/>
  <c r="I38" i="12"/>
  <c r="T36" i="12"/>
  <c r="Z36" i="12" s="1"/>
  <c r="I36" i="12"/>
  <c r="S33" i="12"/>
  <c r="R24" i="15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T30" i="12"/>
  <c r="Z30" i="12"/>
  <c r="C30" i="12"/>
  <c r="I25" i="12"/>
  <c r="T24" i="12"/>
  <c r="Z24" i="12" s="1"/>
  <c r="I24" i="12"/>
  <c r="S23" i="12"/>
  <c r="S35" i="12" s="1"/>
  <c r="R20" i="15"/>
  <c r="R21" i="15" s="1"/>
  <c r="P23" i="12"/>
  <c r="O23" i="12"/>
  <c r="N20" i="15"/>
  <c r="N21" i="15" s="1"/>
  <c r="N27" i="15" s="1"/>
  <c r="E23" i="12"/>
  <c r="E20" i="15" s="1"/>
  <c r="E21" i="15" s="1"/>
  <c r="H23" i="12"/>
  <c r="H20" i="15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/>
  <c r="M21" i="15" s="1"/>
  <c r="T17" i="12"/>
  <c r="Z17" i="12" s="1"/>
  <c r="S96" i="12"/>
  <c r="O98" i="12"/>
  <c r="E59" i="6"/>
  <c r="O35" i="12"/>
  <c r="O116" i="12" s="1"/>
  <c r="O120" i="12" s="1"/>
  <c r="T58" i="12"/>
  <c r="Z58" i="12" s="1"/>
  <c r="T52" i="12"/>
  <c r="Z52" i="12" s="1"/>
  <c r="T32" i="12"/>
  <c r="Z32" i="12"/>
  <c r="AF94" i="12"/>
  <c r="I106" i="11"/>
  <c r="I88" i="11"/>
  <c r="D83" i="11"/>
  <c r="D49" i="16" s="1"/>
  <c r="C83" i="11"/>
  <c r="C49" i="16" s="1"/>
  <c r="C81" i="11"/>
  <c r="C47" i="16" s="1"/>
  <c r="C80" i="11"/>
  <c r="C46" i="16" s="1"/>
  <c r="I67" i="11"/>
  <c r="E66" i="11"/>
  <c r="F63" i="11"/>
  <c r="F34" i="16" s="1"/>
  <c r="F58" i="11"/>
  <c r="F30" i="16" s="1"/>
  <c r="E41" i="11"/>
  <c r="C41" i="11"/>
  <c r="E25" i="11"/>
  <c r="E15" i="11"/>
  <c r="E27" i="11" s="1"/>
  <c r="C12" i="11"/>
  <c r="H56" i="10"/>
  <c r="I76" i="10"/>
  <c r="I77" i="10"/>
  <c r="F108" i="12" s="1"/>
  <c r="I78" i="10"/>
  <c r="I79" i="10"/>
  <c r="I80" i="10" s="1"/>
  <c r="I75" i="10"/>
  <c r="F101" i="12" s="1"/>
  <c r="I60" i="10"/>
  <c r="F79" i="12" s="1"/>
  <c r="I61" i="10"/>
  <c r="F71" i="11" s="1"/>
  <c r="F41" i="16" s="1"/>
  <c r="I62" i="10"/>
  <c r="F90" i="12" s="1"/>
  <c r="I63" i="10"/>
  <c r="F78" i="11" s="1"/>
  <c r="I64" i="10"/>
  <c r="F48" i="16" s="1"/>
  <c r="I65" i="10"/>
  <c r="I66" i="10"/>
  <c r="F73" i="11" s="1"/>
  <c r="I67" i="10"/>
  <c r="I68" i="10"/>
  <c r="I69" i="10"/>
  <c r="F88" i="12" s="1"/>
  <c r="F79" i="11"/>
  <c r="F45" i="16" s="1"/>
  <c r="I59" i="10"/>
  <c r="I55" i="10"/>
  <c r="F73" i="12" s="1"/>
  <c r="I36" i="10"/>
  <c r="I37" i="10"/>
  <c r="F53" i="12" s="1"/>
  <c r="I38" i="10"/>
  <c r="I39" i="10"/>
  <c r="F56" i="12" s="1"/>
  <c r="I40" i="10"/>
  <c r="F49" i="11" s="1"/>
  <c r="I42" i="10"/>
  <c r="F59" i="12" s="1"/>
  <c r="I59" i="12" s="1"/>
  <c r="X59" i="12" s="1"/>
  <c r="I44" i="10"/>
  <c r="F60" i="12"/>
  <c r="I45" i="10"/>
  <c r="I46" i="10"/>
  <c r="F62" i="12" s="1"/>
  <c r="I47" i="10"/>
  <c r="F69" i="12" s="1"/>
  <c r="I48" i="10"/>
  <c r="I49" i="10"/>
  <c r="F64" i="12"/>
  <c r="I50" i="10"/>
  <c r="I51" i="10"/>
  <c r="I52" i="10"/>
  <c r="F60" i="11" s="1"/>
  <c r="F31" i="16" s="1"/>
  <c r="F67" i="12"/>
  <c r="I53" i="10"/>
  <c r="F62" i="11"/>
  <c r="I54" i="10"/>
  <c r="F72" i="12"/>
  <c r="I35" i="10"/>
  <c r="F52" i="12"/>
  <c r="I25" i="10"/>
  <c r="F42" i="12" s="1"/>
  <c r="I26" i="10"/>
  <c r="F43" i="12" s="1"/>
  <c r="I27" i="10"/>
  <c r="F44" i="12" s="1"/>
  <c r="I28" i="10"/>
  <c r="I29" i="10"/>
  <c r="I30" i="10"/>
  <c r="I31" i="10"/>
  <c r="I24" i="10"/>
  <c r="I17" i="10"/>
  <c r="I18" i="10" s="1"/>
  <c r="F32" i="12" s="1"/>
  <c r="F33" i="12" s="1"/>
  <c r="F24" i="15" s="1"/>
  <c r="F25" i="15" s="1"/>
  <c r="F9" i="16" s="1"/>
  <c r="I9" i="10"/>
  <c r="I11" i="10"/>
  <c r="I12" i="10"/>
  <c r="I13" i="10"/>
  <c r="I8" i="10"/>
  <c r="H80" i="10"/>
  <c r="H70" i="10"/>
  <c r="H32" i="10"/>
  <c r="H18" i="10"/>
  <c r="H14" i="10"/>
  <c r="F52" i="11"/>
  <c r="F25" i="16" s="1"/>
  <c r="F99" i="11"/>
  <c r="F57" i="16" s="1"/>
  <c r="F57" i="11"/>
  <c r="F64" i="11"/>
  <c r="F82" i="11"/>
  <c r="T25" i="12"/>
  <c r="Z25" i="12" s="1"/>
  <c r="R32" i="15"/>
  <c r="F70" i="11"/>
  <c r="F40" i="16" s="1"/>
  <c r="F44" i="11"/>
  <c r="F22" i="16" s="1"/>
  <c r="T37" i="12"/>
  <c r="Z37" i="12" s="1"/>
  <c r="AF92" i="12"/>
  <c r="S98" i="12"/>
  <c r="AF89" i="12"/>
  <c r="R33" i="15"/>
  <c r="E43" i="10"/>
  <c r="E56" i="10" s="1"/>
  <c r="E10" i="10"/>
  <c r="I10" i="10" s="1"/>
  <c r="D43" i="10"/>
  <c r="D41" i="10"/>
  <c r="C43" i="10"/>
  <c r="C56" i="10" s="1"/>
  <c r="B43" i="10"/>
  <c r="B32" i="10"/>
  <c r="B72" i="10" s="1"/>
  <c r="E80" i="10"/>
  <c r="D80" i="10"/>
  <c r="C80" i="10"/>
  <c r="B80" i="10"/>
  <c r="E70" i="10"/>
  <c r="D70" i="10"/>
  <c r="C70" i="10"/>
  <c r="B70" i="10"/>
  <c r="B56" i="10"/>
  <c r="E32" i="10"/>
  <c r="D32" i="10"/>
  <c r="C32" i="10"/>
  <c r="I23" i="10"/>
  <c r="E18" i="10"/>
  <c r="D18" i="10"/>
  <c r="C18" i="10"/>
  <c r="B18" i="10"/>
  <c r="D14" i="10"/>
  <c r="C14" i="10"/>
  <c r="C20" i="10" s="1"/>
  <c r="B14" i="10"/>
  <c r="B20" i="10" s="1"/>
  <c r="I14" i="7"/>
  <c r="H11" i="7"/>
  <c r="H20" i="7" s="1"/>
  <c r="D11" i="7"/>
  <c r="D20" i="7" s="1"/>
  <c r="C11" i="7"/>
  <c r="C20" i="7" s="1"/>
  <c r="B11" i="7"/>
  <c r="I10" i="7"/>
  <c r="I56" i="6"/>
  <c r="I57" i="6" s="1"/>
  <c r="I50" i="6"/>
  <c r="H51" i="6"/>
  <c r="I47" i="6"/>
  <c r="C73" i="12" s="1"/>
  <c r="C51" i="6"/>
  <c r="D51" i="6"/>
  <c r="B51" i="6"/>
  <c r="C55" i="11"/>
  <c r="C28" i="16" s="1"/>
  <c r="C69" i="12"/>
  <c r="E106" i="12"/>
  <c r="E97" i="11"/>
  <c r="E79" i="12"/>
  <c r="E70" i="11"/>
  <c r="I46" i="6"/>
  <c r="C79" i="11" s="1"/>
  <c r="C45" i="16" s="1"/>
  <c r="I54" i="6"/>
  <c r="I14" i="6"/>
  <c r="C88" i="12"/>
  <c r="C103" i="12"/>
  <c r="C94" i="11"/>
  <c r="I45" i="6"/>
  <c r="I41" i="6"/>
  <c r="I40" i="6"/>
  <c r="H59" i="6"/>
  <c r="D42" i="6"/>
  <c r="D59" i="6" s="1"/>
  <c r="C42" i="6"/>
  <c r="B42" i="6"/>
  <c r="B59" i="6"/>
  <c r="D34" i="6"/>
  <c r="B34" i="6"/>
  <c r="I17" i="6"/>
  <c r="D15" i="6"/>
  <c r="C15" i="6"/>
  <c r="B15" i="6"/>
  <c r="I13" i="6"/>
  <c r="I12" i="6"/>
  <c r="I10" i="6"/>
  <c r="C18" i="12" s="1"/>
  <c r="I9" i="6"/>
  <c r="D38" i="5"/>
  <c r="D53" i="5" s="1"/>
  <c r="C38" i="5"/>
  <c r="C53" i="5" s="1"/>
  <c r="B38" i="5"/>
  <c r="C66" i="5"/>
  <c r="D66" i="5"/>
  <c r="B66" i="5"/>
  <c r="C73" i="5"/>
  <c r="D73" i="5"/>
  <c r="F73" i="5"/>
  <c r="B73" i="5"/>
  <c r="C35" i="5"/>
  <c r="D35" i="5"/>
  <c r="F35" i="5"/>
  <c r="B35" i="5"/>
  <c r="D25" i="5"/>
  <c r="I19" i="5"/>
  <c r="I28" i="5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1" i="2"/>
  <c r="B42" i="2"/>
  <c r="B51" i="2"/>
  <c r="B81" i="2" s="1"/>
  <c r="B52" i="2"/>
  <c r="B53" i="2"/>
  <c r="B54" i="2"/>
  <c r="B57" i="2"/>
  <c r="B86" i="2" s="1"/>
  <c r="B58" i="2"/>
  <c r="B59" i="2"/>
  <c r="B60" i="2"/>
  <c r="B61" i="2"/>
  <c r="B62" i="2"/>
  <c r="B64" i="2"/>
  <c r="B72" i="2"/>
  <c r="B87" i="2"/>
  <c r="B88" i="2"/>
  <c r="B89" i="2"/>
  <c r="B90" i="2"/>
  <c r="B123" i="2"/>
  <c r="B186" i="2" s="1"/>
  <c r="B70" i="2"/>
  <c r="B71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N39" i="2" s="1"/>
  <c r="P39" i="2" s="1"/>
  <c r="Q39" i="2" s="1"/>
  <c r="C40" i="2"/>
  <c r="C41" i="2"/>
  <c r="C42" i="2"/>
  <c r="C44" i="2"/>
  <c r="N44" i="2" s="1"/>
  <c r="P44" i="2" s="1"/>
  <c r="Q44" i="2" s="1"/>
  <c r="C51" i="2"/>
  <c r="C52" i="2"/>
  <c r="C82" i="2" s="1"/>
  <c r="C53" i="2"/>
  <c r="C54" i="2"/>
  <c r="C57" i="2"/>
  <c r="C58" i="2"/>
  <c r="C59" i="2"/>
  <c r="C60" i="2"/>
  <c r="C65" i="2" s="1"/>
  <c r="C61" i="2"/>
  <c r="C62" i="2"/>
  <c r="C64" i="2"/>
  <c r="C90" i="2"/>
  <c r="C72" i="2"/>
  <c r="C87" i="2"/>
  <c r="C88" i="2"/>
  <c r="C89" i="2"/>
  <c r="C123" i="2"/>
  <c r="C68" i="2"/>
  <c r="C69" i="2"/>
  <c r="C71" i="2"/>
  <c r="P267" i="2"/>
  <c r="Q267" i="2" s="1"/>
  <c r="P265" i="2"/>
  <c r="Q265" i="2" s="1"/>
  <c r="L71" i="2"/>
  <c r="K71" i="2"/>
  <c r="K73" i="2" s="1"/>
  <c r="J71" i="2"/>
  <c r="G71" i="2"/>
  <c r="F71" i="2"/>
  <c r="D71" i="2"/>
  <c r="N258" i="2"/>
  <c r="P258" i="2" s="1"/>
  <c r="Q258" i="2" s="1"/>
  <c r="N257" i="2"/>
  <c r="N256" i="2"/>
  <c r="P256" i="2" s="1"/>
  <c r="Q256" i="2" s="1"/>
  <c r="N255" i="2"/>
  <c r="B105" i="12" s="1"/>
  <c r="I105" i="12" s="1"/>
  <c r="N253" i="2"/>
  <c r="B102" i="12" s="1"/>
  <c r="I102" i="12" s="1"/>
  <c r="P251" i="2"/>
  <c r="Q251" i="2" s="1"/>
  <c r="P250" i="2"/>
  <c r="Q250" i="2"/>
  <c r="L70" i="2"/>
  <c r="K70" i="2"/>
  <c r="J70" i="2"/>
  <c r="G70" i="2"/>
  <c r="F70" i="2"/>
  <c r="D70" i="2"/>
  <c r="N240" i="2"/>
  <c r="N239" i="2"/>
  <c r="B86" i="11"/>
  <c r="I86" i="11" s="1"/>
  <c r="N238" i="2"/>
  <c r="P238" i="2" s="1"/>
  <c r="Q238" i="2" s="1"/>
  <c r="N237" i="2"/>
  <c r="B93" i="12" s="1"/>
  <c r="I93" i="12" s="1"/>
  <c r="N236" i="2"/>
  <c r="N235" i="2"/>
  <c r="P235" i="2" s="1"/>
  <c r="Q235" i="2" s="1"/>
  <c r="N234" i="2"/>
  <c r="P234" i="2" s="1"/>
  <c r="Q234" i="2" s="1"/>
  <c r="N233" i="2"/>
  <c r="N232" i="2"/>
  <c r="B68" i="12" s="1"/>
  <c r="I68" i="12" s="1"/>
  <c r="AB68" i="12" s="1"/>
  <c r="E231" i="2"/>
  <c r="N231" i="2" s="1"/>
  <c r="N230" i="2"/>
  <c r="B91" i="12" s="1"/>
  <c r="N229" i="2"/>
  <c r="N228" i="2"/>
  <c r="P228" i="2" s="1"/>
  <c r="Q228" i="2" s="1"/>
  <c r="N227" i="2"/>
  <c r="P227" i="2" s="1"/>
  <c r="Q227" i="2" s="1"/>
  <c r="N226" i="2"/>
  <c r="P226" i="2" s="1"/>
  <c r="Q226" i="2" s="1"/>
  <c r="N225" i="2"/>
  <c r="N224" i="2"/>
  <c r="P224" i="2" s="1"/>
  <c r="Q224" i="2" s="1"/>
  <c r="N223" i="2"/>
  <c r="P223" i="2" s="1"/>
  <c r="Q223" i="2" s="1"/>
  <c r="N222" i="2"/>
  <c r="B77" i="12" s="1"/>
  <c r="N221" i="2"/>
  <c r="N220" i="2"/>
  <c r="B78" i="12" s="1"/>
  <c r="I78" i="12" s="1"/>
  <c r="P219" i="2"/>
  <c r="Q219" i="2"/>
  <c r="M218" i="2"/>
  <c r="M69" i="2" s="1"/>
  <c r="L218" i="2"/>
  <c r="L69" i="2"/>
  <c r="K218" i="2"/>
  <c r="K69" i="2" s="1"/>
  <c r="J218" i="2"/>
  <c r="J69" i="2" s="1"/>
  <c r="I218" i="2"/>
  <c r="I69" i="2" s="1"/>
  <c r="F69" i="2"/>
  <c r="D69" i="2"/>
  <c r="N216" i="2"/>
  <c r="P216" i="2" s="1"/>
  <c r="Q216" i="2" s="1"/>
  <c r="N215" i="2"/>
  <c r="P215" i="2" s="1"/>
  <c r="Q215" i="2" s="1"/>
  <c r="N214" i="2"/>
  <c r="N213" i="2"/>
  <c r="B59" i="11" s="1"/>
  <c r="B32" i="16" s="1"/>
  <c r="I32" i="16" s="1"/>
  <c r="N212" i="2"/>
  <c r="B65" i="12" s="1"/>
  <c r="N211" i="2"/>
  <c r="P211" i="2" s="1"/>
  <c r="Q211" i="2" s="1"/>
  <c r="N210" i="2"/>
  <c r="P210" i="2" s="1"/>
  <c r="Q210" i="2" s="1"/>
  <c r="N209" i="2"/>
  <c r="N208" i="2"/>
  <c r="P208" i="2" s="1"/>
  <c r="Q208" i="2" s="1"/>
  <c r="N207" i="2"/>
  <c r="P207" i="2" s="1"/>
  <c r="Q207" i="2" s="1"/>
  <c r="N206" i="2"/>
  <c r="B49" i="11" s="1"/>
  <c r="N205" i="2"/>
  <c r="B55" i="12" s="1"/>
  <c r="N204" i="2"/>
  <c r="P204" i="2" s="1"/>
  <c r="Q204" i="2" s="1"/>
  <c r="N203" i="2"/>
  <c r="N202" i="2"/>
  <c r="N201" i="2"/>
  <c r="P200" i="2"/>
  <c r="Q200" i="2" s="1"/>
  <c r="M199" i="2"/>
  <c r="M68" i="2"/>
  <c r="L199" i="2"/>
  <c r="L68" i="2" s="1"/>
  <c r="K199" i="2"/>
  <c r="K68" i="2"/>
  <c r="J199" i="2"/>
  <c r="J68" i="2" s="1"/>
  <c r="I199" i="2"/>
  <c r="I68" i="2"/>
  <c r="G68" i="2"/>
  <c r="E68" i="2"/>
  <c r="D68" i="2"/>
  <c r="N198" i="2"/>
  <c r="N197" i="2"/>
  <c r="P197" i="2" s="1"/>
  <c r="Q197" i="2" s="1"/>
  <c r="N196" i="2"/>
  <c r="B38" i="11" s="1"/>
  <c r="N195" i="2"/>
  <c r="N194" i="2"/>
  <c r="P194" i="2" s="1"/>
  <c r="Q194" i="2" s="1"/>
  <c r="N193" i="2"/>
  <c r="B36" i="11" s="1"/>
  <c r="N192" i="2"/>
  <c r="B43" i="12" s="1"/>
  <c r="N191" i="2"/>
  <c r="N190" i="2"/>
  <c r="B33" i="11" s="1"/>
  <c r="I33" i="11" s="1"/>
  <c r="N189" i="2"/>
  <c r="P189" i="2" s="1"/>
  <c r="Q189" i="2" s="1"/>
  <c r="N188" i="2"/>
  <c r="P187" i="2"/>
  <c r="Q187" i="2" s="1"/>
  <c r="M185" i="2"/>
  <c r="L185" i="2"/>
  <c r="L186" i="2" s="1"/>
  <c r="L266" i="2" s="1"/>
  <c r="K185" i="2"/>
  <c r="J185" i="2"/>
  <c r="I185" i="2"/>
  <c r="N180" i="2"/>
  <c r="N179" i="2"/>
  <c r="E178" i="2"/>
  <c r="E61" i="2"/>
  <c r="N177" i="2"/>
  <c r="P177" i="2" s="1"/>
  <c r="Q177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N172" i="2"/>
  <c r="P172" i="2" s="1"/>
  <c r="Q172" i="2" s="1"/>
  <c r="N171" i="2"/>
  <c r="P171" i="2" s="1"/>
  <c r="Q171" i="2" s="1"/>
  <c r="N170" i="2"/>
  <c r="P170" i="2" s="1"/>
  <c r="Q170" i="2" s="1"/>
  <c r="N169" i="2"/>
  <c r="P169" i="2" s="1"/>
  <c r="Q169" i="2" s="1"/>
  <c r="N168" i="2"/>
  <c r="P168" i="2" s="1"/>
  <c r="Q168" i="2" s="1"/>
  <c r="N167" i="2"/>
  <c r="P167" i="2" s="1"/>
  <c r="Q167" i="2" s="1"/>
  <c r="N166" i="2"/>
  <c r="P166" i="2" s="1"/>
  <c r="Q166" i="2" s="1"/>
  <c r="N165" i="2"/>
  <c r="P165" i="2" s="1"/>
  <c r="Q165" i="2" s="1"/>
  <c r="N164" i="2"/>
  <c r="P164" i="2" s="1"/>
  <c r="Q164" i="2" s="1"/>
  <c r="E163" i="2"/>
  <c r="E185" i="2" s="1"/>
  <c r="N162" i="2"/>
  <c r="P162" i="2" s="1"/>
  <c r="Q162" i="2" s="1"/>
  <c r="N161" i="2"/>
  <c r="P161" i="2" s="1"/>
  <c r="Q161" i="2" s="1"/>
  <c r="N160" i="2"/>
  <c r="P160" i="2" s="1"/>
  <c r="Q160" i="2" s="1"/>
  <c r="N159" i="2"/>
  <c r="N158" i="2"/>
  <c r="P158" i="2" s="1"/>
  <c r="Q158" i="2" s="1"/>
  <c r="N156" i="2"/>
  <c r="P156" i="2" s="1"/>
  <c r="Q156" i="2" s="1"/>
  <c r="N155" i="2"/>
  <c r="P155" i="2" s="1"/>
  <c r="Q155" i="2" s="1"/>
  <c r="N154" i="2"/>
  <c r="P154" i="2" s="1"/>
  <c r="Q154" i="2" s="1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P144" i="2" s="1"/>
  <c r="Q144" i="2" s="1"/>
  <c r="N143" i="2"/>
  <c r="P143" i="2"/>
  <c r="Q143" i="2" s="1"/>
  <c r="N142" i="2"/>
  <c r="P142" i="2" s="1"/>
  <c r="Q142" i="2" s="1"/>
  <c r="N141" i="2"/>
  <c r="P141" i="2" s="1"/>
  <c r="Q141" i="2" s="1"/>
  <c r="N140" i="2"/>
  <c r="P140" i="2" s="1"/>
  <c r="Q140" i="2" s="1"/>
  <c r="N139" i="2"/>
  <c r="P139" i="2" s="1"/>
  <c r="Q139" i="2" s="1"/>
  <c r="N138" i="2"/>
  <c r="P138" i="2" s="1"/>
  <c r="Q138" i="2" s="1"/>
  <c r="N137" i="2"/>
  <c r="P137" i="2" s="1"/>
  <c r="Q137" i="2" s="1"/>
  <c r="N136" i="2"/>
  <c r="P136" i="2" s="1"/>
  <c r="Q136" i="2" s="1"/>
  <c r="N135" i="2"/>
  <c r="P135" i="2" s="1"/>
  <c r="Q135" i="2" s="1"/>
  <c r="N133" i="2"/>
  <c r="N132" i="2"/>
  <c r="P132" i="2" s="1"/>
  <c r="Q132" i="2" s="1"/>
  <c r="P131" i="2"/>
  <c r="Q131" i="2" s="1"/>
  <c r="N130" i="2"/>
  <c r="N129" i="2"/>
  <c r="N128" i="2"/>
  <c r="P128" i="2" s="1"/>
  <c r="Q128" i="2" s="1"/>
  <c r="N127" i="2"/>
  <c r="P127" i="2" s="1"/>
  <c r="Q127" i="2" s="1"/>
  <c r="N126" i="2"/>
  <c r="P126" i="2" s="1"/>
  <c r="Q126" i="2" s="1"/>
  <c r="N125" i="2"/>
  <c r="P124" i="2"/>
  <c r="Q124" i="2" s="1"/>
  <c r="M123" i="2"/>
  <c r="M186" i="2" s="1"/>
  <c r="M266" i="2" s="1"/>
  <c r="L123" i="2"/>
  <c r="K123" i="2"/>
  <c r="J123" i="2"/>
  <c r="J186" i="2" s="1"/>
  <c r="I123" i="2"/>
  <c r="I186" i="2" s="1"/>
  <c r="I266" i="2" s="1"/>
  <c r="H123" i="2"/>
  <c r="G186" i="2"/>
  <c r="F123" i="2"/>
  <c r="E123" i="2"/>
  <c r="E186" i="2" s="1"/>
  <c r="D123" i="2"/>
  <c r="N122" i="2"/>
  <c r="N121" i="2"/>
  <c r="N120" i="2"/>
  <c r="P120" i="2" s="1"/>
  <c r="Q120" i="2" s="1"/>
  <c r="N119" i="2"/>
  <c r="P119" i="2" s="1"/>
  <c r="Q119" i="2" s="1"/>
  <c r="N118" i="2"/>
  <c r="P118" i="2" s="1"/>
  <c r="Q118" i="2" s="1"/>
  <c r="N117" i="2"/>
  <c r="P117" i="2" s="1"/>
  <c r="Q117" i="2" s="1"/>
  <c r="N116" i="2"/>
  <c r="P116" i="2" s="1"/>
  <c r="Q116" i="2" s="1"/>
  <c r="N115" i="2"/>
  <c r="N114" i="2"/>
  <c r="N113" i="2"/>
  <c r="P113" i="2" s="1"/>
  <c r="Q113" i="2" s="1"/>
  <c r="N112" i="2"/>
  <c r="P112" i="2" s="1"/>
  <c r="Q112" i="2" s="1"/>
  <c r="N111" i="2"/>
  <c r="P111" i="2" s="1"/>
  <c r="Q111" i="2" s="1"/>
  <c r="N110" i="2"/>
  <c r="N109" i="2"/>
  <c r="P109" i="2" s="1"/>
  <c r="Q109" i="2" s="1"/>
  <c r="N108" i="2"/>
  <c r="P108" i="2" s="1"/>
  <c r="Q108" i="2" s="1"/>
  <c r="N107" i="2"/>
  <c r="P107" i="2" s="1"/>
  <c r="Q107" i="2" s="1"/>
  <c r="N106" i="2"/>
  <c r="N105" i="2"/>
  <c r="N104" i="2"/>
  <c r="P104" i="2" s="1"/>
  <c r="Q104" i="2" s="1"/>
  <c r="N103" i="2"/>
  <c r="P103" i="2" s="1"/>
  <c r="Q103" i="2" s="1"/>
  <c r="N102" i="2"/>
  <c r="P101" i="2"/>
  <c r="Q101" i="2" s="1"/>
  <c r="P100" i="2"/>
  <c r="Q100" i="2" s="1"/>
  <c r="P99" i="2"/>
  <c r="Q99" i="2" s="1"/>
  <c r="P98" i="2"/>
  <c r="Q98" i="2" s="1"/>
  <c r="P97" i="2"/>
  <c r="Q97" i="2" s="1"/>
  <c r="N96" i="2"/>
  <c r="P96" i="2" s="1"/>
  <c r="Q96" i="2" s="1"/>
  <c r="P95" i="2"/>
  <c r="Q95" i="2" s="1"/>
  <c r="P94" i="2"/>
  <c r="Q94" i="2" s="1"/>
  <c r="P93" i="2"/>
  <c r="Q93" i="2" s="1"/>
  <c r="F90" i="2"/>
  <c r="M89" i="2"/>
  <c r="L89" i="2"/>
  <c r="K89" i="2"/>
  <c r="J89" i="2"/>
  <c r="I89" i="2"/>
  <c r="G89" i="2"/>
  <c r="F89" i="2"/>
  <c r="E89" i="2"/>
  <c r="D89" i="2"/>
  <c r="L88" i="2"/>
  <c r="K88" i="2"/>
  <c r="J88" i="2"/>
  <c r="I88" i="2"/>
  <c r="G88" i="2"/>
  <c r="F88" i="2"/>
  <c r="E88" i="2"/>
  <c r="D88" i="2"/>
  <c r="G87" i="2"/>
  <c r="F87" i="2"/>
  <c r="E87" i="2"/>
  <c r="D87" i="2"/>
  <c r="F86" i="2"/>
  <c r="F91" i="2" s="1"/>
  <c r="P85" i="2"/>
  <c r="Q85" i="2" s="1"/>
  <c r="P84" i="2"/>
  <c r="Q84" i="2" s="1"/>
  <c r="F82" i="2"/>
  <c r="F83" i="2" s="1"/>
  <c r="F81" i="2"/>
  <c r="P80" i="2"/>
  <c r="Q80" i="2" s="1"/>
  <c r="P79" i="2"/>
  <c r="Q79" i="2" s="1"/>
  <c r="P78" i="2"/>
  <c r="Q78" i="2" s="1"/>
  <c r="P76" i="2"/>
  <c r="Q76" i="2" s="1"/>
  <c r="P75" i="2"/>
  <c r="Q75" i="2" s="1"/>
  <c r="M72" i="2"/>
  <c r="M73" i="2" s="1"/>
  <c r="L72" i="2"/>
  <c r="K72" i="2"/>
  <c r="J72" i="2"/>
  <c r="I72" i="2"/>
  <c r="G72" i="2"/>
  <c r="F72" i="2"/>
  <c r="E72" i="2"/>
  <c r="D72" i="2"/>
  <c r="M71" i="2"/>
  <c r="I71" i="2"/>
  <c r="E71" i="2"/>
  <c r="G69" i="2"/>
  <c r="P67" i="2"/>
  <c r="Q67" i="2" s="1"/>
  <c r="M64" i="2"/>
  <c r="M90" i="2" s="1"/>
  <c r="L64" i="2"/>
  <c r="L90" i="2"/>
  <c r="K64" i="2"/>
  <c r="K90" i="2" s="1"/>
  <c r="J64" i="2"/>
  <c r="J90" i="2"/>
  <c r="I64" i="2"/>
  <c r="I90" i="2" s="1"/>
  <c r="G90" i="2"/>
  <c r="F64" i="2"/>
  <c r="E64" i="2"/>
  <c r="E90" i="2" s="1"/>
  <c r="D64" i="2"/>
  <c r="D90" i="2" s="1"/>
  <c r="N63" i="2"/>
  <c r="P63" i="2" s="1"/>
  <c r="Q63" i="2" s="1"/>
  <c r="M62" i="2"/>
  <c r="L62" i="2"/>
  <c r="K62" i="2"/>
  <c r="J62" i="2"/>
  <c r="I62" i="2"/>
  <c r="F62" i="2"/>
  <c r="E62" i="2"/>
  <c r="D62" i="2"/>
  <c r="M61" i="2"/>
  <c r="L61" i="2"/>
  <c r="K61" i="2"/>
  <c r="J61" i="2"/>
  <c r="I61" i="2"/>
  <c r="F61" i="2"/>
  <c r="D61" i="2"/>
  <c r="M60" i="2"/>
  <c r="L60" i="2"/>
  <c r="K60" i="2"/>
  <c r="J60" i="2"/>
  <c r="I60" i="2"/>
  <c r="F60" i="2"/>
  <c r="E60" i="2"/>
  <c r="D60" i="2"/>
  <c r="M59" i="2"/>
  <c r="L59" i="2"/>
  <c r="K59" i="2"/>
  <c r="J59" i="2"/>
  <c r="I59" i="2"/>
  <c r="E59" i="2"/>
  <c r="D59" i="2"/>
  <c r="M58" i="2"/>
  <c r="L58" i="2"/>
  <c r="L87" i="2" s="1"/>
  <c r="K58" i="2"/>
  <c r="J58" i="2"/>
  <c r="J87" i="2" s="1"/>
  <c r="I58" i="2"/>
  <c r="I87" i="2" s="1"/>
  <c r="F58" i="2"/>
  <c r="E58" i="2"/>
  <c r="D58" i="2"/>
  <c r="M57" i="2"/>
  <c r="L57" i="2"/>
  <c r="L86" i="2"/>
  <c r="K57" i="2"/>
  <c r="K86" i="2" s="1"/>
  <c r="J57" i="2"/>
  <c r="J86" i="2"/>
  <c r="I57" i="2"/>
  <c r="G86" i="2"/>
  <c r="F57" i="2"/>
  <c r="E57" i="2"/>
  <c r="E86" i="2" s="1"/>
  <c r="D57" i="2"/>
  <c r="D86" i="2" s="1"/>
  <c r="P56" i="2"/>
  <c r="Q56" i="2" s="1"/>
  <c r="M54" i="2"/>
  <c r="L54" i="2"/>
  <c r="K54" i="2"/>
  <c r="J54" i="2"/>
  <c r="I54" i="2"/>
  <c r="F54" i="2"/>
  <c r="E54" i="2"/>
  <c r="D54" i="2"/>
  <c r="M53" i="2"/>
  <c r="L53" i="2"/>
  <c r="K53" i="2"/>
  <c r="J53" i="2"/>
  <c r="I53" i="2"/>
  <c r="F53" i="2"/>
  <c r="E53" i="2"/>
  <c r="D53" i="2"/>
  <c r="D55" i="2" s="1"/>
  <c r="M52" i="2"/>
  <c r="L52" i="2"/>
  <c r="L82" i="2" s="1"/>
  <c r="K52" i="2"/>
  <c r="J52" i="2"/>
  <c r="I52" i="2"/>
  <c r="H83" i="2"/>
  <c r="F52" i="2"/>
  <c r="E52" i="2"/>
  <c r="E82" i="2" s="1"/>
  <c r="D52" i="2"/>
  <c r="D82" i="2" s="1"/>
  <c r="M51" i="2"/>
  <c r="M55" i="2" s="1"/>
  <c r="M81" i="2"/>
  <c r="L51" i="2"/>
  <c r="L81" i="2" s="1"/>
  <c r="K51" i="2"/>
  <c r="K81" i="2"/>
  <c r="J51" i="2"/>
  <c r="I51" i="2"/>
  <c r="I81" i="2" s="1"/>
  <c r="G81" i="2"/>
  <c r="F51" i="2"/>
  <c r="N51" i="2" s="1"/>
  <c r="P51" i="2" s="1"/>
  <c r="Q51" i="2" s="1"/>
  <c r="E51" i="2"/>
  <c r="D51" i="2"/>
  <c r="D81" i="2"/>
  <c r="P50" i="2"/>
  <c r="Q50" i="2" s="1"/>
  <c r="P49" i="2"/>
  <c r="Q49" i="2" s="1"/>
  <c r="P48" i="2"/>
  <c r="Q48" i="2"/>
  <c r="P47" i="2"/>
  <c r="Q47" i="2" s="1"/>
  <c r="M45" i="2"/>
  <c r="L45" i="2"/>
  <c r="K45" i="2"/>
  <c r="J45" i="2"/>
  <c r="I45" i="2"/>
  <c r="H45" i="2"/>
  <c r="F45" i="2"/>
  <c r="N43" i="2"/>
  <c r="P43" i="2" s="1"/>
  <c r="Q43" i="2" s="1"/>
  <c r="E42" i="2"/>
  <c r="D42" i="2"/>
  <c r="E40" i="2"/>
  <c r="D40" i="2"/>
  <c r="E39" i="2"/>
  <c r="D39" i="2"/>
  <c r="E38" i="2"/>
  <c r="D38" i="2"/>
  <c r="P37" i="2"/>
  <c r="Q37" i="2" s="1"/>
  <c r="M33" i="2"/>
  <c r="L33" i="2"/>
  <c r="K33" i="2"/>
  <c r="J33" i="2"/>
  <c r="I33" i="2"/>
  <c r="G33" i="2"/>
  <c r="F33" i="2"/>
  <c r="E33" i="2"/>
  <c r="D33" i="2"/>
  <c r="M32" i="2"/>
  <c r="L32" i="2"/>
  <c r="K32" i="2"/>
  <c r="J32" i="2"/>
  <c r="I32" i="2"/>
  <c r="G32" i="2"/>
  <c r="N32" i="2" s="1"/>
  <c r="P32" i="2" s="1"/>
  <c r="Q32" i="2" s="1"/>
  <c r="F32" i="2"/>
  <c r="E32" i="2"/>
  <c r="D32" i="2"/>
  <c r="P31" i="2"/>
  <c r="Q31" i="2" s="1"/>
  <c r="M30" i="2"/>
  <c r="L30" i="2"/>
  <c r="K30" i="2"/>
  <c r="J30" i="2"/>
  <c r="I30" i="2"/>
  <c r="F30" i="2"/>
  <c r="M29" i="2"/>
  <c r="L29" i="2"/>
  <c r="K29" i="2"/>
  <c r="J29" i="2"/>
  <c r="I29" i="2"/>
  <c r="G29" i="2"/>
  <c r="F29" i="2"/>
  <c r="E29" i="2"/>
  <c r="D29" i="2"/>
  <c r="M28" i="2"/>
  <c r="L28" i="2"/>
  <c r="K28" i="2"/>
  <c r="J28" i="2"/>
  <c r="I28" i="2"/>
  <c r="G28" i="2"/>
  <c r="F28" i="2"/>
  <c r="E28" i="2"/>
  <c r="D28" i="2"/>
  <c r="M27" i="2"/>
  <c r="L27" i="2"/>
  <c r="K27" i="2"/>
  <c r="J27" i="2"/>
  <c r="I27" i="2"/>
  <c r="G27" i="2"/>
  <c r="F27" i="2"/>
  <c r="E27" i="2"/>
  <c r="D27" i="2"/>
  <c r="P26" i="2"/>
  <c r="Q26" i="2" s="1"/>
  <c r="M25" i="2"/>
  <c r="L25" i="2"/>
  <c r="K25" i="2"/>
  <c r="J25" i="2"/>
  <c r="I25" i="2"/>
  <c r="G25" i="2"/>
  <c r="F25" i="2"/>
  <c r="D25" i="2"/>
  <c r="M24" i="2"/>
  <c r="L24" i="2"/>
  <c r="K24" i="2"/>
  <c r="J24" i="2"/>
  <c r="I24" i="2"/>
  <c r="G24" i="2"/>
  <c r="F24" i="2"/>
  <c r="E24" i="2"/>
  <c r="D24" i="2"/>
  <c r="M23" i="2"/>
  <c r="L23" i="2"/>
  <c r="K23" i="2"/>
  <c r="J23" i="2"/>
  <c r="I23" i="2"/>
  <c r="G23" i="2"/>
  <c r="F23" i="2"/>
  <c r="E23" i="2"/>
  <c r="D23" i="2"/>
  <c r="M22" i="2"/>
  <c r="L22" i="2"/>
  <c r="K22" i="2"/>
  <c r="J22" i="2"/>
  <c r="I22" i="2"/>
  <c r="G22" i="2"/>
  <c r="F22" i="2"/>
  <c r="E22" i="2"/>
  <c r="D22" i="2"/>
  <c r="P21" i="2"/>
  <c r="Q21" i="2" s="1"/>
  <c r="M20" i="2"/>
  <c r="L20" i="2"/>
  <c r="K20" i="2"/>
  <c r="J20" i="2"/>
  <c r="I20" i="2"/>
  <c r="F20" i="2"/>
  <c r="E20" i="2"/>
  <c r="M18" i="2"/>
  <c r="L18" i="2"/>
  <c r="K18" i="2"/>
  <c r="J18" i="2"/>
  <c r="I18" i="2"/>
  <c r="N18" i="2" s="1"/>
  <c r="P18" i="2" s="1"/>
  <c r="Q18" i="2" s="1"/>
  <c r="F18" i="2"/>
  <c r="E18" i="2"/>
  <c r="D18" i="2"/>
  <c r="M17" i="2"/>
  <c r="L17" i="2"/>
  <c r="K17" i="2"/>
  <c r="J17" i="2"/>
  <c r="I17" i="2"/>
  <c r="G17" i="2"/>
  <c r="F17" i="2"/>
  <c r="E17" i="2"/>
  <c r="D17" i="2"/>
  <c r="M16" i="2"/>
  <c r="L16" i="2"/>
  <c r="K16" i="2"/>
  <c r="J16" i="2"/>
  <c r="I16" i="2"/>
  <c r="G16" i="2"/>
  <c r="F16" i="2"/>
  <c r="E16" i="2"/>
  <c r="D16" i="2"/>
  <c r="M15" i="2"/>
  <c r="L15" i="2"/>
  <c r="K15" i="2"/>
  <c r="J15" i="2"/>
  <c r="I15" i="2"/>
  <c r="G15" i="2"/>
  <c r="F15" i="2"/>
  <c r="E15" i="2"/>
  <c r="D15" i="2"/>
  <c r="M14" i="2"/>
  <c r="L14" i="2"/>
  <c r="K14" i="2"/>
  <c r="J14" i="2"/>
  <c r="I14" i="2"/>
  <c r="G14" i="2"/>
  <c r="F14" i="2"/>
  <c r="E14" i="2"/>
  <c r="D14" i="2"/>
  <c r="P13" i="2"/>
  <c r="Q13" i="2" s="1"/>
  <c r="P12" i="2"/>
  <c r="Q12" i="2" s="1"/>
  <c r="M10" i="2"/>
  <c r="L10" i="2"/>
  <c r="K10" i="2"/>
  <c r="J10" i="2"/>
  <c r="I10" i="2"/>
  <c r="G10" i="2"/>
  <c r="F10" i="2"/>
  <c r="E10" i="2"/>
  <c r="M9" i="2"/>
  <c r="L9" i="2"/>
  <c r="K9" i="2"/>
  <c r="N9" i="2" s="1"/>
  <c r="P9" i="2" s="1"/>
  <c r="Q9" i="2" s="1"/>
  <c r="J9" i="2"/>
  <c r="I9" i="2"/>
  <c r="G9" i="2"/>
  <c r="F9" i="2"/>
  <c r="E9" i="2"/>
  <c r="D9" i="2"/>
  <c r="M8" i="2"/>
  <c r="L8" i="2"/>
  <c r="K8" i="2"/>
  <c r="J8" i="2"/>
  <c r="I8" i="2"/>
  <c r="F8" i="2"/>
  <c r="E8" i="2"/>
  <c r="D8" i="2"/>
  <c r="M7" i="2"/>
  <c r="L7" i="2"/>
  <c r="K7" i="2"/>
  <c r="J7" i="2"/>
  <c r="I7" i="2"/>
  <c r="G7" i="2"/>
  <c r="F7" i="2"/>
  <c r="E7" i="2"/>
  <c r="D7" i="2"/>
  <c r="M6" i="2"/>
  <c r="L6" i="2"/>
  <c r="K6" i="2"/>
  <c r="J6" i="2"/>
  <c r="I6" i="2"/>
  <c r="G6" i="2"/>
  <c r="F6" i="2"/>
  <c r="E6" i="2"/>
  <c r="D6" i="2"/>
  <c r="M5" i="2"/>
  <c r="L5" i="2"/>
  <c r="K5" i="2"/>
  <c r="J5" i="2"/>
  <c r="I5" i="2"/>
  <c r="G5" i="2"/>
  <c r="E5" i="2"/>
  <c r="D5" i="2"/>
  <c r="B72" i="12"/>
  <c r="B64" i="11"/>
  <c r="B82" i="11"/>
  <c r="B48" i="16" s="1"/>
  <c r="E249" i="2"/>
  <c r="E70" i="2" s="1"/>
  <c r="K186" i="2"/>
  <c r="K266" i="2" s="1"/>
  <c r="C14" i="11"/>
  <c r="B53" i="5"/>
  <c r="B68" i="5" s="1"/>
  <c r="C60" i="16"/>
  <c r="I94" i="11"/>
  <c r="B47" i="11"/>
  <c r="B87" i="12"/>
  <c r="B78" i="11"/>
  <c r="B44" i="16" s="1"/>
  <c r="B60" i="11"/>
  <c r="B96" i="11"/>
  <c r="I96" i="11" s="1"/>
  <c r="B97" i="11"/>
  <c r="P257" i="2"/>
  <c r="Q257" i="2" s="1"/>
  <c r="B107" i="12"/>
  <c r="B98" i="11"/>
  <c r="B59" i="16" s="1"/>
  <c r="B93" i="11"/>
  <c r="P252" i="2"/>
  <c r="Q252" i="2" s="1"/>
  <c r="B101" i="12"/>
  <c r="B92" i="11"/>
  <c r="B56" i="16" s="1"/>
  <c r="P220" i="2"/>
  <c r="Q220" i="2" s="1"/>
  <c r="P229" i="2"/>
  <c r="Q229" i="2" s="1"/>
  <c r="P240" i="2"/>
  <c r="Q240" i="2" s="1"/>
  <c r="P239" i="2"/>
  <c r="Q239" i="2" s="1"/>
  <c r="B95" i="12"/>
  <c r="I95" i="12" s="1"/>
  <c r="P237" i="2"/>
  <c r="Q237" i="2" s="1"/>
  <c r="B84" i="11"/>
  <c r="I84" i="11" s="1"/>
  <c r="P236" i="2"/>
  <c r="Q236" i="2" s="1"/>
  <c r="B92" i="12"/>
  <c r="B83" i="11"/>
  <c r="B80" i="11"/>
  <c r="P233" i="2"/>
  <c r="Q233" i="2" s="1"/>
  <c r="B88" i="12"/>
  <c r="B79" i="11"/>
  <c r="P225" i="2"/>
  <c r="Q225" i="2" s="1"/>
  <c r="B81" i="12"/>
  <c r="B72" i="11"/>
  <c r="B42" i="16" s="1"/>
  <c r="B48" i="12"/>
  <c r="I48" i="12" s="1"/>
  <c r="B40" i="11"/>
  <c r="I40" i="11" s="1"/>
  <c r="B66" i="12"/>
  <c r="I66" i="12" s="1"/>
  <c r="AB66" i="12" s="1"/>
  <c r="P195" i="2"/>
  <c r="Q195" i="2" s="1"/>
  <c r="B35" i="11"/>
  <c r="P191" i="2"/>
  <c r="Q191" i="2" s="1"/>
  <c r="B42" i="12"/>
  <c r="B34" i="11"/>
  <c r="B17" i="16" s="1"/>
  <c r="P125" i="2"/>
  <c r="Q125" i="2" s="1"/>
  <c r="D88" i="12"/>
  <c r="D79" i="11"/>
  <c r="D45" i="16" s="1"/>
  <c r="D53" i="12"/>
  <c r="D45" i="11"/>
  <c r="D23" i="16" s="1"/>
  <c r="D43" i="12"/>
  <c r="D35" i="11"/>
  <c r="D70" i="12"/>
  <c r="D62" i="11"/>
  <c r="D64" i="12"/>
  <c r="D57" i="11"/>
  <c r="D29" i="16" s="1"/>
  <c r="D58" i="12"/>
  <c r="D50" i="11"/>
  <c r="D106" i="12"/>
  <c r="D97" i="11"/>
  <c r="D58" i="16" s="1"/>
  <c r="D90" i="12"/>
  <c r="D81" i="11"/>
  <c r="D47" i="16" s="1"/>
  <c r="D67" i="12"/>
  <c r="D60" i="11"/>
  <c r="D31" i="16" s="1"/>
  <c r="D62" i="12"/>
  <c r="D54" i="11"/>
  <c r="D27" i="16" s="1"/>
  <c r="D57" i="12"/>
  <c r="D49" i="11"/>
  <c r="D37" i="11"/>
  <c r="D87" i="12"/>
  <c r="D78" i="11"/>
  <c r="D44" i="16" s="1"/>
  <c r="D70" i="11"/>
  <c r="D40" i="16" s="1"/>
  <c r="D61" i="12"/>
  <c r="C58" i="12"/>
  <c r="C50" i="11"/>
  <c r="C67" i="12"/>
  <c r="C60" i="11"/>
  <c r="C31" i="16"/>
  <c r="C17" i="12"/>
  <c r="C9" i="11"/>
  <c r="C82" i="12"/>
  <c r="C73" i="11"/>
  <c r="C79" i="12"/>
  <c r="C70" i="11"/>
  <c r="C40" i="16" s="1"/>
  <c r="D36" i="6"/>
  <c r="B36" i="6"/>
  <c r="I42" i="6"/>
  <c r="C25" i="5"/>
  <c r="B25" i="5"/>
  <c r="C186" i="2"/>
  <c r="N42" i="2"/>
  <c r="P42" i="2" s="1"/>
  <c r="Q42" i="2" s="1"/>
  <c r="F186" i="2"/>
  <c r="F266" i="2" s="1"/>
  <c r="H73" i="2"/>
  <c r="D73" i="2"/>
  <c r="N178" i="2"/>
  <c r="P178" i="2" s="1"/>
  <c r="Q178" i="2" s="1"/>
  <c r="E11" i="2"/>
  <c r="I55" i="2"/>
  <c r="H55" i="2"/>
  <c r="H91" i="2"/>
  <c r="D65" i="2"/>
  <c r="D66" i="2" s="1"/>
  <c r="I82" i="2"/>
  <c r="M86" i="2"/>
  <c r="P221" i="2"/>
  <c r="Q221" i="2" s="1"/>
  <c r="G11" i="2"/>
  <c r="M82" i="2"/>
  <c r="I93" i="11"/>
  <c r="B58" i="16"/>
  <c r="I37" i="12"/>
  <c r="B45" i="12" l="1"/>
  <c r="B37" i="11"/>
  <c r="B41" i="12"/>
  <c r="I41" i="12" s="1"/>
  <c r="P196" i="2"/>
  <c r="Q196" i="2" s="1"/>
  <c r="Q96" i="12"/>
  <c r="P32" i="15" s="1"/>
  <c r="T81" i="12"/>
  <c r="B9" i="11"/>
  <c r="I9" i="11" s="1"/>
  <c r="N33" i="12"/>
  <c r="T26" i="12"/>
  <c r="Z26" i="12" s="1"/>
  <c r="E58" i="16"/>
  <c r="E61" i="16" s="1"/>
  <c r="E105" i="11"/>
  <c r="D20" i="10"/>
  <c r="I90" i="12"/>
  <c r="X90" i="12" s="1"/>
  <c r="O31" i="15"/>
  <c r="O33" i="15" s="1"/>
  <c r="P98" i="12"/>
  <c r="I63" i="5"/>
  <c r="F66" i="5"/>
  <c r="H69" i="12"/>
  <c r="C16" i="12"/>
  <c r="C8" i="11"/>
  <c r="M35" i="12"/>
  <c r="L20" i="15"/>
  <c r="T28" i="12"/>
  <c r="Z28" i="12" s="1"/>
  <c r="M33" i="12"/>
  <c r="P231" i="2"/>
  <c r="Q231" i="2" s="1"/>
  <c r="B70" i="12"/>
  <c r="Z41" i="12"/>
  <c r="M30" i="15"/>
  <c r="M33" i="15" s="1"/>
  <c r="N98" i="12"/>
  <c r="L31" i="15"/>
  <c r="M98" i="12"/>
  <c r="Z84" i="12"/>
  <c r="Z95" i="12"/>
  <c r="U95" i="12"/>
  <c r="O32" i="15"/>
  <c r="S32" i="15" s="1"/>
  <c r="Y32" i="15" s="1"/>
  <c r="T96" i="12"/>
  <c r="T40" i="12"/>
  <c r="Z40" i="12" s="1"/>
  <c r="Q49" i="12"/>
  <c r="P30" i="15" s="1"/>
  <c r="B61" i="6"/>
  <c r="D91" i="2"/>
  <c r="D68" i="5"/>
  <c r="D185" i="2"/>
  <c r="D186" i="2" s="1"/>
  <c r="D266" i="2" s="1"/>
  <c r="N134" i="2"/>
  <c r="G101" i="12"/>
  <c r="G92" i="11"/>
  <c r="G105" i="11" s="1"/>
  <c r="G24" i="15"/>
  <c r="G25" i="15" s="1"/>
  <c r="G9" i="16" s="1"/>
  <c r="G35" i="12"/>
  <c r="B62" i="11"/>
  <c r="B35" i="16" s="1"/>
  <c r="D45" i="2"/>
  <c r="N64" i="2"/>
  <c r="P64" i="2" s="1"/>
  <c r="Q64" i="2" s="1"/>
  <c r="I92" i="12"/>
  <c r="X92" i="12" s="1"/>
  <c r="N24" i="2"/>
  <c r="P24" i="2" s="1"/>
  <c r="Q24" i="2" s="1"/>
  <c r="J65" i="2"/>
  <c r="F92" i="2"/>
  <c r="L73" i="2"/>
  <c r="P209" i="2"/>
  <c r="Q209" i="2" s="1"/>
  <c r="B53" i="11"/>
  <c r="B82" i="2"/>
  <c r="B55" i="2"/>
  <c r="D75" i="5"/>
  <c r="D78" i="5" s="1"/>
  <c r="I51" i="6"/>
  <c r="I59" i="6" s="1"/>
  <c r="C65" i="11"/>
  <c r="C35" i="16" s="1"/>
  <c r="S116" i="12"/>
  <c r="S120" i="12" s="1"/>
  <c r="Z87" i="12"/>
  <c r="U87" i="12"/>
  <c r="C11" i="11"/>
  <c r="C19" i="12"/>
  <c r="C23" i="12" s="1"/>
  <c r="C20" i="15" s="1"/>
  <c r="C21" i="15" s="1"/>
  <c r="C7" i="16" s="1"/>
  <c r="R114" i="12"/>
  <c r="Q35" i="15" s="1"/>
  <c r="E82" i="12"/>
  <c r="E75" i="11"/>
  <c r="I18" i="7"/>
  <c r="E114" i="12"/>
  <c r="E35" i="15" s="1"/>
  <c r="B20" i="7"/>
  <c r="E14" i="10"/>
  <c r="E20" i="10" s="1"/>
  <c r="E72" i="10"/>
  <c r="I43" i="10"/>
  <c r="I41" i="16"/>
  <c r="C24" i="11"/>
  <c r="H61" i="6"/>
  <c r="H101" i="12"/>
  <c r="H114" i="12" s="1"/>
  <c r="H35" i="15" s="1"/>
  <c r="H56" i="16"/>
  <c r="H61" i="16" s="1"/>
  <c r="H92" i="11"/>
  <c r="H105" i="11" s="1"/>
  <c r="G19" i="16"/>
  <c r="F72" i="10"/>
  <c r="F82" i="10" s="1"/>
  <c r="F85" i="10" s="1"/>
  <c r="G20" i="7"/>
  <c r="D61" i="6"/>
  <c r="B106" i="12"/>
  <c r="I60" i="16"/>
  <c r="N163" i="2"/>
  <c r="P163" i="2" s="1"/>
  <c r="Q163" i="2" s="1"/>
  <c r="E25" i="2"/>
  <c r="M65" i="2"/>
  <c r="M66" i="2" s="1"/>
  <c r="N23" i="2"/>
  <c r="P23" i="2" s="1"/>
  <c r="Q23" i="2" s="1"/>
  <c r="I38" i="5"/>
  <c r="I103" i="12"/>
  <c r="B82" i="10"/>
  <c r="B85" i="10" s="1"/>
  <c r="F34" i="11"/>
  <c r="F17" i="16" s="1"/>
  <c r="C27" i="12"/>
  <c r="I12" i="14"/>
  <c r="G60" i="11"/>
  <c r="G31" i="16" s="1"/>
  <c r="H27" i="11"/>
  <c r="Q27" i="15"/>
  <c r="E74" i="11"/>
  <c r="G29" i="17"/>
  <c r="T16" i="12"/>
  <c r="Z16" i="12" s="1"/>
  <c r="T29" i="12"/>
  <c r="G36" i="6"/>
  <c r="J266" i="2"/>
  <c r="C66" i="11"/>
  <c r="H92" i="2"/>
  <c r="N54" i="2"/>
  <c r="P54" i="2" s="1"/>
  <c r="Q54" i="2" s="1"/>
  <c r="B91" i="2"/>
  <c r="C22" i="12"/>
  <c r="E96" i="12"/>
  <c r="E32" i="15" s="1"/>
  <c r="C59" i="6"/>
  <c r="C61" i="6" s="1"/>
  <c r="C72" i="10"/>
  <c r="C82" i="10" s="1"/>
  <c r="C85" i="10" s="1"/>
  <c r="H20" i="10"/>
  <c r="B18" i="14"/>
  <c r="B28" i="14" s="1"/>
  <c r="H18" i="14"/>
  <c r="E19" i="17"/>
  <c r="E29" i="17" s="1"/>
  <c r="D29" i="17"/>
  <c r="H19" i="17"/>
  <c r="H29" i="17" s="1"/>
  <c r="I56" i="12"/>
  <c r="F19" i="17"/>
  <c r="F29" i="17" s="1"/>
  <c r="E25" i="5"/>
  <c r="B73" i="2"/>
  <c r="C73" i="2"/>
  <c r="G59" i="6"/>
  <c r="B10" i="11"/>
  <c r="F11" i="2"/>
  <c r="B31" i="12"/>
  <c r="B266" i="2"/>
  <c r="B31" i="16"/>
  <c r="C266" i="2"/>
  <c r="I101" i="11"/>
  <c r="B110" i="12"/>
  <c r="N264" i="2"/>
  <c r="H19" i="16"/>
  <c r="H87" i="11"/>
  <c r="C24" i="16"/>
  <c r="C36" i="16" s="1"/>
  <c r="E36" i="16"/>
  <c r="C74" i="12"/>
  <c r="C96" i="12"/>
  <c r="C32" i="15" s="1"/>
  <c r="R27" i="15"/>
  <c r="R37" i="15" s="1"/>
  <c r="R41" i="15" s="1"/>
  <c r="I84" i="12"/>
  <c r="X84" i="12" s="1"/>
  <c r="B61" i="12"/>
  <c r="P213" i="2"/>
  <c r="Q213" i="2" s="1"/>
  <c r="B89" i="12"/>
  <c r="I89" i="12" s="1"/>
  <c r="B67" i="12"/>
  <c r="B27" i="12"/>
  <c r="B19" i="11" s="1"/>
  <c r="P190" i="2"/>
  <c r="Q190" i="2" s="1"/>
  <c r="P253" i="2"/>
  <c r="Q253" i="2" s="1"/>
  <c r="P230" i="2"/>
  <c r="Q230" i="2" s="1"/>
  <c r="D83" i="2"/>
  <c r="B17" i="12"/>
  <c r="I17" i="12" s="1"/>
  <c r="AB17" i="12" s="1"/>
  <c r="B111" i="12"/>
  <c r="I111" i="12" s="1"/>
  <c r="B94" i="12"/>
  <c r="I94" i="12" s="1"/>
  <c r="AB94" i="12" s="1"/>
  <c r="B108" i="12"/>
  <c r="I108" i="12" s="1"/>
  <c r="X108" i="12" s="1"/>
  <c r="P205" i="2"/>
  <c r="Q205" i="2" s="1"/>
  <c r="B44" i="11"/>
  <c r="B22" i="16" s="1"/>
  <c r="P193" i="2"/>
  <c r="Q193" i="2" s="1"/>
  <c r="B57" i="12"/>
  <c r="I57" i="12" s="1"/>
  <c r="AD57" i="12" s="1"/>
  <c r="AF57" i="12" s="1"/>
  <c r="B70" i="11"/>
  <c r="B40" i="16" s="1"/>
  <c r="B49" i="16"/>
  <c r="I49" i="16" s="1"/>
  <c r="B85" i="11"/>
  <c r="B50" i="16" s="1"/>
  <c r="I50" i="16" s="1"/>
  <c r="B99" i="11"/>
  <c r="I99" i="11" s="1"/>
  <c r="G83" i="2"/>
  <c r="B103" i="11"/>
  <c r="I103" i="11" s="1"/>
  <c r="I83" i="11"/>
  <c r="I59" i="11"/>
  <c r="B30" i="12"/>
  <c r="B22" i="11" s="1"/>
  <c r="I22" i="11" s="1"/>
  <c r="C34" i="2"/>
  <c r="N14" i="2"/>
  <c r="P14" i="2" s="1"/>
  <c r="Q14" i="2" s="1"/>
  <c r="B44" i="12"/>
  <c r="L83" i="2"/>
  <c r="B23" i="11"/>
  <c r="I23" i="11" s="1"/>
  <c r="B83" i="2"/>
  <c r="B92" i="2" s="1"/>
  <c r="I11" i="2"/>
  <c r="N29" i="2"/>
  <c r="P29" i="2" s="1"/>
  <c r="Q29" i="2" s="1"/>
  <c r="N30" i="2"/>
  <c r="P30" i="2" s="1"/>
  <c r="Q30" i="2" s="1"/>
  <c r="P115" i="2"/>
  <c r="Q115" i="2" s="1"/>
  <c r="G45" i="2"/>
  <c r="D44" i="12"/>
  <c r="D56" i="16"/>
  <c r="D101" i="12"/>
  <c r="I88" i="12"/>
  <c r="X88" i="12" s="1"/>
  <c r="I66" i="5"/>
  <c r="D69" i="11"/>
  <c r="D39" i="16" s="1"/>
  <c r="D77" i="12"/>
  <c r="D72" i="12"/>
  <c r="D60" i="12"/>
  <c r="D34" i="11"/>
  <c r="D17" i="16" s="1"/>
  <c r="D32" i="11"/>
  <c r="D16" i="16" s="1"/>
  <c r="H25" i="5"/>
  <c r="C68" i="5"/>
  <c r="C75" i="5" s="1"/>
  <c r="C78" i="5" s="1"/>
  <c r="D35" i="16"/>
  <c r="D48" i="11"/>
  <c r="D24" i="16" s="1"/>
  <c r="D74" i="11"/>
  <c r="I70" i="12"/>
  <c r="X70" i="12" s="1"/>
  <c r="D61" i="16"/>
  <c r="B75" i="5"/>
  <c r="B78" i="5" s="1"/>
  <c r="D58" i="11"/>
  <c r="D30" i="16" s="1"/>
  <c r="D73" i="12"/>
  <c r="I73" i="12" s="1"/>
  <c r="D73" i="11"/>
  <c r="I73" i="11" s="1"/>
  <c r="D63" i="11"/>
  <c r="D34" i="16" s="1"/>
  <c r="F68" i="5"/>
  <c r="F75" i="5" s="1"/>
  <c r="F78" i="5" s="1"/>
  <c r="I23" i="5"/>
  <c r="I64" i="11"/>
  <c r="I61" i="12"/>
  <c r="AB61" i="12" s="1"/>
  <c r="I72" i="12"/>
  <c r="I73" i="5"/>
  <c r="I65" i="12"/>
  <c r="AB65" i="12" s="1"/>
  <c r="E61" i="6"/>
  <c r="AB103" i="12"/>
  <c r="X103" i="12"/>
  <c r="C31" i="15"/>
  <c r="C33" i="15" s="1"/>
  <c r="C10" i="11"/>
  <c r="C15" i="11" s="1"/>
  <c r="C19" i="11"/>
  <c r="I15" i="6"/>
  <c r="I27" i="12"/>
  <c r="AD27" i="12" s="1"/>
  <c r="AF27" i="12" s="1"/>
  <c r="C21" i="11"/>
  <c r="C32" i="12"/>
  <c r="P134" i="2"/>
  <c r="Q134" i="2" s="1"/>
  <c r="B32" i="12"/>
  <c r="B24" i="11" s="1"/>
  <c r="N68" i="2"/>
  <c r="P68" i="2" s="1"/>
  <c r="Q68" i="2" s="1"/>
  <c r="N69" i="2"/>
  <c r="P69" i="2" s="1"/>
  <c r="Q69" i="2" s="1"/>
  <c r="B63" i="11"/>
  <c r="B34" i="16" s="1"/>
  <c r="B79" i="12"/>
  <c r="I79" i="12" s="1"/>
  <c r="B61" i="11"/>
  <c r="P232" i="2"/>
  <c r="Q232" i="2" s="1"/>
  <c r="B75" i="11"/>
  <c r="I75" i="11" s="1"/>
  <c r="B71" i="12"/>
  <c r="I71" i="12" s="1"/>
  <c r="I82" i="11"/>
  <c r="P206" i="2"/>
  <c r="Q206" i="2" s="1"/>
  <c r="B54" i="11"/>
  <c r="B27" i="16" s="1"/>
  <c r="P202" i="2"/>
  <c r="Q202" i="2" s="1"/>
  <c r="B52" i="12"/>
  <c r="B62" i="12"/>
  <c r="I62" i="12" s="1"/>
  <c r="X62" i="12" s="1"/>
  <c r="P214" i="2"/>
  <c r="Q214" i="2" s="1"/>
  <c r="B46" i="11"/>
  <c r="B52" i="11"/>
  <c r="B25" i="16" s="1"/>
  <c r="P212" i="2"/>
  <c r="Q212" i="2" s="1"/>
  <c r="B60" i="12"/>
  <c r="B54" i="12"/>
  <c r="B58" i="11"/>
  <c r="B30" i="16" s="1"/>
  <c r="B46" i="12"/>
  <c r="G73" i="2"/>
  <c r="P192" i="2"/>
  <c r="Q192" i="2" s="1"/>
  <c r="G266" i="2"/>
  <c r="J34" i="2"/>
  <c r="K34" i="2"/>
  <c r="AB93" i="12"/>
  <c r="X93" i="12"/>
  <c r="N17" i="2"/>
  <c r="P17" i="2" s="1"/>
  <c r="Q17" i="2" s="1"/>
  <c r="C11" i="2"/>
  <c r="G55" i="2"/>
  <c r="G65" i="2"/>
  <c r="P133" i="2"/>
  <c r="Q133" i="2" s="1"/>
  <c r="X68" i="12"/>
  <c r="AD68" i="12"/>
  <c r="AF68" i="12" s="1"/>
  <c r="B45" i="16"/>
  <c r="I45" i="16" s="1"/>
  <c r="I79" i="11"/>
  <c r="L11" i="2"/>
  <c r="N8" i="2"/>
  <c r="P8" i="2" s="1"/>
  <c r="Q8" i="2" s="1"/>
  <c r="B26" i="16"/>
  <c r="I26" i="16" s="1"/>
  <c r="I53" i="11"/>
  <c r="K87" i="2"/>
  <c r="K91" i="2" s="1"/>
  <c r="K65" i="2"/>
  <c r="P105" i="2"/>
  <c r="Q105" i="2" s="1"/>
  <c r="B18" i="12"/>
  <c r="I18" i="12" s="1"/>
  <c r="AB84" i="12"/>
  <c r="X41" i="12"/>
  <c r="AB41" i="12"/>
  <c r="AD41" i="12"/>
  <c r="AF41" i="12" s="1"/>
  <c r="I86" i="2"/>
  <c r="I91" i="2" s="1"/>
  <c r="I65" i="2"/>
  <c r="I66" i="2" s="1"/>
  <c r="P130" i="2"/>
  <c r="Q130" i="2" s="1"/>
  <c r="C45" i="2"/>
  <c r="N40" i="2"/>
  <c r="P40" i="2" s="1"/>
  <c r="Q40" i="2" s="1"/>
  <c r="X48" i="12"/>
  <c r="AB48" i="12"/>
  <c r="AD48" i="12"/>
  <c r="AF48" i="12" s="1"/>
  <c r="I80" i="11"/>
  <c r="B46" i="16"/>
  <c r="AB105" i="12"/>
  <c r="X105" i="12"/>
  <c r="D92" i="2"/>
  <c r="AB102" i="12"/>
  <c r="X102" i="12"/>
  <c r="AB108" i="12"/>
  <c r="J55" i="2"/>
  <c r="J66" i="2" s="1"/>
  <c r="J81" i="2"/>
  <c r="K82" i="2"/>
  <c r="K83" i="2" s="1"/>
  <c r="K55" i="2"/>
  <c r="M83" i="2"/>
  <c r="L65" i="2"/>
  <c r="L55" i="2"/>
  <c r="B26" i="12"/>
  <c r="B18" i="11" s="1"/>
  <c r="K11" i="2"/>
  <c r="N16" i="2"/>
  <c r="P16" i="2" s="1"/>
  <c r="Q16" i="2" s="1"/>
  <c r="D34" i="2"/>
  <c r="N90" i="2"/>
  <c r="P90" i="2" s="1"/>
  <c r="Q90" i="2" s="1"/>
  <c r="N89" i="2"/>
  <c r="P89" i="2" s="1"/>
  <c r="Q89" i="2" s="1"/>
  <c r="I43" i="12"/>
  <c r="AB43" i="12" s="1"/>
  <c r="N28" i="2"/>
  <c r="P28" i="2" s="1"/>
  <c r="Q28" i="2" s="1"/>
  <c r="N62" i="2"/>
  <c r="P62" i="2" s="1"/>
  <c r="Q62" i="2" s="1"/>
  <c r="N27" i="2"/>
  <c r="P27" i="2" s="1"/>
  <c r="Q27" i="2" s="1"/>
  <c r="N22" i="2"/>
  <c r="P22" i="2" s="1"/>
  <c r="Q22" i="2" s="1"/>
  <c r="M91" i="2"/>
  <c r="I19" i="11"/>
  <c r="M11" i="2"/>
  <c r="N6" i="2"/>
  <c r="P6" i="2" s="1"/>
  <c r="Q6" i="2" s="1"/>
  <c r="J11" i="2"/>
  <c r="N10" i="2"/>
  <c r="F34" i="2"/>
  <c r="F35" i="2" s="1"/>
  <c r="L34" i="2"/>
  <c r="N25" i="2"/>
  <c r="P25" i="2" s="1"/>
  <c r="Q25" i="2" s="1"/>
  <c r="G91" i="2"/>
  <c r="G92" i="2" s="1"/>
  <c r="N88" i="2"/>
  <c r="P88" i="2" s="1"/>
  <c r="Q88" i="2" s="1"/>
  <c r="I42" i="12"/>
  <c r="X42" i="12" s="1"/>
  <c r="X27" i="12"/>
  <c r="AB27" i="12"/>
  <c r="H186" i="2"/>
  <c r="H266" i="2" s="1"/>
  <c r="B8" i="11"/>
  <c r="I8" i="11" s="1"/>
  <c r="B14" i="11"/>
  <c r="B22" i="12"/>
  <c r="F80" i="12"/>
  <c r="I80" i="12" s="1"/>
  <c r="AB80" i="12" s="1"/>
  <c r="F54" i="11"/>
  <c r="F36" i="11"/>
  <c r="I36" i="11" s="1"/>
  <c r="F35" i="11"/>
  <c r="I35" i="11" s="1"/>
  <c r="F56" i="16"/>
  <c r="F44" i="16"/>
  <c r="I44" i="16" s="1"/>
  <c r="I78" i="11"/>
  <c r="F87" i="12"/>
  <c r="I87" i="12" s="1"/>
  <c r="F51" i="11"/>
  <c r="I51" i="11" s="1"/>
  <c r="F40" i="12"/>
  <c r="F81" i="11"/>
  <c r="I70" i="11"/>
  <c r="F32" i="11"/>
  <c r="F16" i="16" s="1"/>
  <c r="F91" i="12"/>
  <c r="I91" i="12" s="1"/>
  <c r="F48" i="11"/>
  <c r="F24" i="11"/>
  <c r="F25" i="11" s="1"/>
  <c r="E82" i="10"/>
  <c r="E85" i="10" s="1"/>
  <c r="F98" i="11"/>
  <c r="I48" i="16"/>
  <c r="I14" i="10"/>
  <c r="F14" i="11" s="1"/>
  <c r="F15" i="11" s="1"/>
  <c r="F27" i="11" s="1"/>
  <c r="F65" i="11"/>
  <c r="I65" i="11" s="1"/>
  <c r="P188" i="2"/>
  <c r="Q188" i="2" s="1"/>
  <c r="B40" i="12"/>
  <c r="I49" i="11"/>
  <c r="F81" i="12"/>
  <c r="I81" i="12" s="1"/>
  <c r="I70" i="10"/>
  <c r="F72" i="11"/>
  <c r="F42" i="16" s="1"/>
  <c r="I101" i="12"/>
  <c r="AB90" i="12"/>
  <c r="N87" i="2"/>
  <c r="P87" i="2" s="1"/>
  <c r="Q87" i="2" s="1"/>
  <c r="B32" i="11"/>
  <c r="X56" i="12"/>
  <c r="AB56" i="12"/>
  <c r="N61" i="2"/>
  <c r="P61" i="2" s="1"/>
  <c r="Q61" i="2" s="1"/>
  <c r="E65" i="2"/>
  <c r="X78" i="12"/>
  <c r="AB78" i="12"/>
  <c r="AD78" i="12"/>
  <c r="AF78" i="12" s="1"/>
  <c r="F38" i="11"/>
  <c r="F46" i="12"/>
  <c r="I32" i="10"/>
  <c r="F54" i="12"/>
  <c r="F46" i="11"/>
  <c r="G27" i="15"/>
  <c r="G7" i="16"/>
  <c r="G11" i="16" s="1"/>
  <c r="AD56" i="12"/>
  <c r="AF56" i="12" s="1"/>
  <c r="D25" i="16"/>
  <c r="I52" i="11"/>
  <c r="AB95" i="12"/>
  <c r="X95" i="12"/>
  <c r="AD43" i="12"/>
  <c r="AF43" i="12" s="1"/>
  <c r="X66" i="12"/>
  <c r="AD66" i="12"/>
  <c r="AF66" i="12" s="1"/>
  <c r="E73" i="2"/>
  <c r="N70" i="2"/>
  <c r="P70" i="2" s="1"/>
  <c r="Q70" i="2" s="1"/>
  <c r="M34" i="2"/>
  <c r="I73" i="2"/>
  <c r="N71" i="2"/>
  <c r="P71" i="2" s="1"/>
  <c r="Q71" i="2" s="1"/>
  <c r="F73" i="2"/>
  <c r="N72" i="2"/>
  <c r="P72" i="2" s="1"/>
  <c r="Q72" i="2" s="1"/>
  <c r="P102" i="2"/>
  <c r="Q102" i="2" s="1"/>
  <c r="N123" i="2"/>
  <c r="P123" i="2" s="1"/>
  <c r="Q123" i="2" s="1"/>
  <c r="P106" i="2"/>
  <c r="Q106" i="2" s="1"/>
  <c r="B11" i="11"/>
  <c r="B19" i="12"/>
  <c r="B65" i="2"/>
  <c r="B66" i="2" s="1"/>
  <c r="N58" i="2"/>
  <c r="P58" i="2" s="1"/>
  <c r="Q58" i="2" s="1"/>
  <c r="N41" i="2"/>
  <c r="P41" i="2" s="1"/>
  <c r="Q41" i="2" s="1"/>
  <c r="B45" i="2"/>
  <c r="N33" i="2"/>
  <c r="P33" i="2" s="1"/>
  <c r="Q33" i="2" s="1"/>
  <c r="B34" i="2"/>
  <c r="N15" i="2"/>
  <c r="P15" i="2" s="1"/>
  <c r="Q15" i="2" s="1"/>
  <c r="B11" i="2"/>
  <c r="N7" i="2"/>
  <c r="P7" i="2" s="1"/>
  <c r="Q7" i="2" s="1"/>
  <c r="E266" i="2"/>
  <c r="G34" i="2"/>
  <c r="G35" i="2" s="1"/>
  <c r="E34" i="2"/>
  <c r="E35" i="2" s="1"/>
  <c r="I34" i="2"/>
  <c r="N53" i="2"/>
  <c r="P53" i="2" s="1"/>
  <c r="Q53" i="2" s="1"/>
  <c r="F55" i="2"/>
  <c r="E91" i="2"/>
  <c r="J91" i="2"/>
  <c r="L91" i="2"/>
  <c r="L92" i="2" s="1"/>
  <c r="N60" i="2"/>
  <c r="P60" i="2" s="1"/>
  <c r="Q60" i="2" s="1"/>
  <c r="H65" i="2"/>
  <c r="H66" i="2" s="1"/>
  <c r="P114" i="2"/>
  <c r="Q114" i="2" s="1"/>
  <c r="B16" i="12"/>
  <c r="P129" i="2"/>
  <c r="Q129" i="2" s="1"/>
  <c r="B28" i="12"/>
  <c r="B20" i="11" s="1"/>
  <c r="I46" i="16"/>
  <c r="E81" i="2"/>
  <c r="E83" i="2" s="1"/>
  <c r="E55" i="2"/>
  <c r="I83" i="2"/>
  <c r="P110" i="2"/>
  <c r="Q110" i="2" s="1"/>
  <c r="B12" i="11"/>
  <c r="I12" i="11" s="1"/>
  <c r="B20" i="12"/>
  <c r="I20" i="12" s="1"/>
  <c r="B13" i="11"/>
  <c r="I13" i="11" s="1"/>
  <c r="B21" i="12"/>
  <c r="I21" i="12" s="1"/>
  <c r="P159" i="2"/>
  <c r="Q159" i="2" s="1"/>
  <c r="B69" i="11"/>
  <c r="N249" i="2"/>
  <c r="P249" i="2" s="1"/>
  <c r="Q249" i="2" s="1"/>
  <c r="P222" i="2"/>
  <c r="Q222" i="2" s="1"/>
  <c r="C86" i="2"/>
  <c r="N57" i="2"/>
  <c r="C81" i="2"/>
  <c r="C55" i="2"/>
  <c r="C66" i="2" s="1"/>
  <c r="D11" i="2"/>
  <c r="N5" i="2"/>
  <c r="N38" i="2"/>
  <c r="P38" i="2" s="1"/>
  <c r="Q38" i="2" s="1"/>
  <c r="E45" i="2"/>
  <c r="J82" i="2"/>
  <c r="N52" i="2"/>
  <c r="P52" i="2" s="1"/>
  <c r="Q52" i="2" s="1"/>
  <c r="P198" i="2"/>
  <c r="Q198" i="2" s="1"/>
  <c r="B39" i="11"/>
  <c r="B47" i="12"/>
  <c r="I47" i="12" s="1"/>
  <c r="J73" i="2"/>
  <c r="B53" i="12"/>
  <c r="B45" i="11"/>
  <c r="N218" i="2"/>
  <c r="P218" i="2" s="1"/>
  <c r="Q218" i="2" s="1"/>
  <c r="P203" i="2"/>
  <c r="Q203" i="2" s="1"/>
  <c r="B58" i="12"/>
  <c r="B50" i="11"/>
  <c r="B64" i="12"/>
  <c r="I64" i="12" s="1"/>
  <c r="B57" i="11"/>
  <c r="I41" i="10"/>
  <c r="I56" i="10" s="1"/>
  <c r="D56" i="10"/>
  <c r="D72" i="10" s="1"/>
  <c r="D82" i="10" s="1"/>
  <c r="D85" i="10" s="1"/>
  <c r="F56" i="11"/>
  <c r="F63" i="12"/>
  <c r="I63" i="12" s="1"/>
  <c r="AD80" i="12"/>
  <c r="AF80" i="12" s="1"/>
  <c r="C106" i="12"/>
  <c r="C97" i="11"/>
  <c r="C105" i="11" s="1"/>
  <c r="E69" i="12"/>
  <c r="E74" i="12" s="1"/>
  <c r="E31" i="15" s="1"/>
  <c r="E72" i="11"/>
  <c r="I11" i="7"/>
  <c r="L21" i="15"/>
  <c r="E7" i="16"/>
  <c r="E11" i="16" s="1"/>
  <c r="E27" i="15"/>
  <c r="Z31" i="12"/>
  <c r="E30" i="15"/>
  <c r="E33" i="15" s="1"/>
  <c r="E98" i="12"/>
  <c r="E40" i="16"/>
  <c r="I71" i="11"/>
  <c r="F55" i="11"/>
  <c r="F37" i="11"/>
  <c r="F45" i="12"/>
  <c r="I45" i="12" s="1"/>
  <c r="H72" i="10"/>
  <c r="N37" i="15"/>
  <c r="N41" i="15" s="1"/>
  <c r="Z62" i="12"/>
  <c r="Z82" i="12"/>
  <c r="U82" i="12"/>
  <c r="P20" i="15"/>
  <c r="P21" i="15" s="1"/>
  <c r="P27" i="15" s="1"/>
  <c r="Q35" i="12"/>
  <c r="F55" i="12"/>
  <c r="I55" i="12" s="1"/>
  <c r="F47" i="11"/>
  <c r="I47" i="11" s="1"/>
  <c r="F77" i="12"/>
  <c r="F69" i="11"/>
  <c r="F83" i="12"/>
  <c r="F74" i="11"/>
  <c r="F43" i="16" s="1"/>
  <c r="L33" i="15"/>
  <c r="Z55" i="12"/>
  <c r="AB85" i="12"/>
  <c r="X85" i="12"/>
  <c r="B104" i="12"/>
  <c r="B95" i="11"/>
  <c r="B105" i="11" s="1"/>
  <c r="F34" i="6"/>
  <c r="F36" i="6" s="1"/>
  <c r="I29" i="6"/>
  <c r="C18" i="11" s="1"/>
  <c r="F107" i="12"/>
  <c r="I107" i="12" s="1"/>
  <c r="H7" i="16"/>
  <c r="H11" i="16" s="1"/>
  <c r="H27" i="15"/>
  <c r="O20" i="15"/>
  <c r="O21" i="15" s="1"/>
  <c r="O27" i="15" s="1"/>
  <c r="P35" i="12"/>
  <c r="P116" i="12" s="1"/>
  <c r="P120" i="12" s="1"/>
  <c r="T23" i="12"/>
  <c r="Z71" i="12"/>
  <c r="O35" i="15"/>
  <c r="D77" i="11"/>
  <c r="D86" i="12"/>
  <c r="H60" i="11"/>
  <c r="H67" i="12"/>
  <c r="I12" i="17"/>
  <c r="I19" i="17" s="1"/>
  <c r="F45" i="11"/>
  <c r="F82" i="12"/>
  <c r="I82" i="12" s="1"/>
  <c r="F92" i="11"/>
  <c r="H35" i="12"/>
  <c r="E35" i="12"/>
  <c r="C20" i="11"/>
  <c r="C28" i="12"/>
  <c r="H51" i="16"/>
  <c r="R35" i="12"/>
  <c r="H28" i="16"/>
  <c r="H66" i="11"/>
  <c r="I17" i="5"/>
  <c r="F59" i="6"/>
  <c r="H35" i="5"/>
  <c r="H68" i="5" s="1"/>
  <c r="I34" i="5"/>
  <c r="G66" i="11"/>
  <c r="G89" i="11" s="1"/>
  <c r="I29" i="17"/>
  <c r="E68" i="5"/>
  <c r="E75" i="5" s="1"/>
  <c r="E78" i="5" s="1"/>
  <c r="B83" i="12"/>
  <c r="B74" i="11"/>
  <c r="I18" i="14"/>
  <c r="G32" i="15"/>
  <c r="G33" i="15" s="1"/>
  <c r="G98" i="12"/>
  <c r="G106" i="12"/>
  <c r="I26" i="14"/>
  <c r="H28" i="14"/>
  <c r="G36" i="16"/>
  <c r="G51" i="16"/>
  <c r="R98" i="12"/>
  <c r="Q30" i="15"/>
  <c r="Q33" i="15" s="1"/>
  <c r="Q37" i="15" s="1"/>
  <c r="Q41" i="15" s="1"/>
  <c r="Q74" i="12"/>
  <c r="T59" i="12"/>
  <c r="Q114" i="12"/>
  <c r="P35" i="15" s="1"/>
  <c r="T107" i="12"/>
  <c r="Z107" i="12" s="1"/>
  <c r="F59" i="2"/>
  <c r="C104" i="12"/>
  <c r="C114" i="12" s="1"/>
  <c r="C74" i="11"/>
  <c r="N185" i="2" l="1"/>
  <c r="P185" i="2" s="1"/>
  <c r="Q185" i="2" s="1"/>
  <c r="D114" i="12"/>
  <c r="D35" i="15" s="1"/>
  <c r="B29" i="12"/>
  <c r="B21" i="11" s="1"/>
  <c r="I21" i="11" s="1"/>
  <c r="E43" i="16"/>
  <c r="G114" i="12"/>
  <c r="L24" i="15"/>
  <c r="T33" i="12"/>
  <c r="Z81" i="12"/>
  <c r="U81" i="12"/>
  <c r="M116" i="12"/>
  <c r="M120" i="12" s="1"/>
  <c r="Q98" i="12"/>
  <c r="T98" i="12" s="1"/>
  <c r="I19" i="12"/>
  <c r="H89" i="11"/>
  <c r="H107" i="11" s="1"/>
  <c r="H111" i="11" s="1"/>
  <c r="F105" i="11"/>
  <c r="S35" i="15"/>
  <c r="Y35" i="15" s="1"/>
  <c r="H82" i="10"/>
  <c r="H85" i="10" s="1"/>
  <c r="D35" i="2"/>
  <c r="D74" i="2" s="1"/>
  <c r="E92" i="2"/>
  <c r="I62" i="11"/>
  <c r="I17" i="16"/>
  <c r="G61" i="6"/>
  <c r="U88" i="12"/>
  <c r="U77" i="12"/>
  <c r="U96" i="12" s="1"/>
  <c r="U94" i="12"/>
  <c r="U85" i="12"/>
  <c r="U83" i="12"/>
  <c r="U93" i="12"/>
  <c r="U90" i="12"/>
  <c r="U79" i="12"/>
  <c r="U86" i="12"/>
  <c r="U92" i="12"/>
  <c r="U78" i="12"/>
  <c r="U80" i="12"/>
  <c r="U91" i="12"/>
  <c r="Z96" i="12"/>
  <c r="U89" i="12"/>
  <c r="U84" i="12"/>
  <c r="M24" i="15"/>
  <c r="M25" i="15" s="1"/>
  <c r="M27" i="15" s="1"/>
  <c r="M37" i="15" s="1"/>
  <c r="M41" i="15" s="1"/>
  <c r="N35" i="12"/>
  <c r="N116" i="12" s="1"/>
  <c r="N120" i="12" s="1"/>
  <c r="G35" i="15"/>
  <c r="E37" i="15"/>
  <c r="E41" i="15" s="1"/>
  <c r="I119" i="12"/>
  <c r="I28" i="14"/>
  <c r="G56" i="16"/>
  <c r="I20" i="7"/>
  <c r="C98" i="12"/>
  <c r="I44" i="12"/>
  <c r="AD44" i="12" s="1"/>
  <c r="AF44" i="12" s="1"/>
  <c r="AB92" i="12"/>
  <c r="F114" i="12"/>
  <c r="F35" i="15" s="1"/>
  <c r="Z29" i="12"/>
  <c r="U29" i="12"/>
  <c r="T49" i="12"/>
  <c r="AD17" i="12"/>
  <c r="AF17" i="12" s="1"/>
  <c r="P264" i="2"/>
  <c r="Q264" i="2" s="1"/>
  <c r="I110" i="12"/>
  <c r="B114" i="12"/>
  <c r="I40" i="16"/>
  <c r="G107" i="11"/>
  <c r="G111" i="11" s="1"/>
  <c r="G116" i="12"/>
  <c r="I106" i="12"/>
  <c r="X89" i="12"/>
  <c r="AB89" i="12"/>
  <c r="I25" i="16"/>
  <c r="X94" i="12"/>
  <c r="I85" i="11"/>
  <c r="J35" i="2"/>
  <c r="J36" i="2" s="1"/>
  <c r="I63" i="11"/>
  <c r="X17" i="12"/>
  <c r="N199" i="2"/>
  <c r="P199" i="2" s="1"/>
  <c r="Q199" i="2" s="1"/>
  <c r="C35" i="2"/>
  <c r="C46" i="2" s="1"/>
  <c r="I35" i="2"/>
  <c r="I74" i="2" s="1"/>
  <c r="I30" i="12"/>
  <c r="AB30" i="12" s="1"/>
  <c r="I31" i="12"/>
  <c r="C74" i="2"/>
  <c r="C78" i="2" s="1"/>
  <c r="AD88" i="12"/>
  <c r="AF88" i="12" s="1"/>
  <c r="AD70" i="12"/>
  <c r="AF70" i="12" s="1"/>
  <c r="I60" i="12"/>
  <c r="AB60" i="12" s="1"/>
  <c r="AB44" i="12"/>
  <c r="AB88" i="12"/>
  <c r="AB73" i="12"/>
  <c r="X73" i="12"/>
  <c r="AB70" i="12"/>
  <c r="I30" i="16"/>
  <c r="AB62" i="12"/>
  <c r="X57" i="12"/>
  <c r="I48" i="11"/>
  <c r="I34" i="11"/>
  <c r="H75" i="5"/>
  <c r="H78" i="5" s="1"/>
  <c r="I53" i="5"/>
  <c r="D52" i="12"/>
  <c r="D74" i="12" s="1"/>
  <c r="D31" i="15" s="1"/>
  <c r="D44" i="11"/>
  <c r="X44" i="12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AD62" i="12"/>
  <c r="AF62" i="12" s="1"/>
  <c r="X61" i="12"/>
  <c r="I34" i="16"/>
  <c r="X72" i="12"/>
  <c r="AB72" i="12"/>
  <c r="I10" i="11"/>
  <c r="I34" i="6"/>
  <c r="I36" i="6" s="1"/>
  <c r="I61" i="6" s="1"/>
  <c r="C26" i="12"/>
  <c r="C33" i="12" s="1"/>
  <c r="C24" i="15" s="1"/>
  <c r="C25" i="15" s="1"/>
  <c r="AD71" i="12"/>
  <c r="AF71" i="12" s="1"/>
  <c r="AB71" i="12"/>
  <c r="X71" i="12"/>
  <c r="X79" i="12"/>
  <c r="AD79" i="12"/>
  <c r="AF79" i="12" s="1"/>
  <c r="AB79" i="12"/>
  <c r="B33" i="16"/>
  <c r="I33" i="16" s="1"/>
  <c r="I61" i="11"/>
  <c r="I46" i="11"/>
  <c r="I58" i="11"/>
  <c r="I54" i="12"/>
  <c r="AD42" i="12"/>
  <c r="AF42" i="12" s="1"/>
  <c r="N186" i="2"/>
  <c r="M92" i="2"/>
  <c r="L35" i="2"/>
  <c r="K35" i="2"/>
  <c r="J74" i="2"/>
  <c r="J78" i="2" s="1"/>
  <c r="J46" i="2"/>
  <c r="AB42" i="12"/>
  <c r="F46" i="2"/>
  <c r="F36" i="2"/>
  <c r="I92" i="2"/>
  <c r="K92" i="2"/>
  <c r="X43" i="12"/>
  <c r="L66" i="2"/>
  <c r="K66" i="2"/>
  <c r="AB18" i="12"/>
  <c r="X18" i="12"/>
  <c r="AD18" i="12"/>
  <c r="AF18" i="12" s="1"/>
  <c r="G66" i="2"/>
  <c r="G74" i="2" s="1"/>
  <c r="N20" i="2"/>
  <c r="N34" i="2" s="1"/>
  <c r="P34" i="2" s="1"/>
  <c r="Q34" i="2" s="1"/>
  <c r="H74" i="2"/>
  <c r="N45" i="2"/>
  <c r="P45" i="2" s="1"/>
  <c r="Q45" i="2" s="1"/>
  <c r="X80" i="12"/>
  <c r="I74" i="11"/>
  <c r="F27" i="16"/>
  <c r="I27" i="16" s="1"/>
  <c r="I54" i="11"/>
  <c r="F35" i="16"/>
  <c r="I35" i="16" s="1"/>
  <c r="I20" i="10"/>
  <c r="F22" i="12"/>
  <c r="F23" i="12" s="1"/>
  <c r="F20" i="15" s="1"/>
  <c r="F21" i="15" s="1"/>
  <c r="X91" i="12"/>
  <c r="AB91" i="12"/>
  <c r="AD91" i="12"/>
  <c r="AD87" i="12"/>
  <c r="AF87" i="12" s="1"/>
  <c r="AB87" i="12"/>
  <c r="X87" i="12"/>
  <c r="F23" i="16"/>
  <c r="F49" i="12"/>
  <c r="F30" i="15" s="1"/>
  <c r="F59" i="16"/>
  <c r="I98" i="11"/>
  <c r="I81" i="11"/>
  <c r="F47" i="16"/>
  <c r="I47" i="16" s="1"/>
  <c r="Z98" i="12"/>
  <c r="U98" i="12"/>
  <c r="X107" i="12"/>
  <c r="AB107" i="12"/>
  <c r="I77" i="11"/>
  <c r="D87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B66" i="11"/>
  <c r="G36" i="2"/>
  <c r="G46" i="2"/>
  <c r="I11" i="11"/>
  <c r="B15" i="11"/>
  <c r="M35" i="2"/>
  <c r="N73" i="2"/>
  <c r="P73" i="2" s="1"/>
  <c r="Q73" i="2" s="1"/>
  <c r="N55" i="2"/>
  <c r="G53" i="16"/>
  <c r="G63" i="16" s="1"/>
  <c r="G67" i="16" s="1"/>
  <c r="H31" i="16"/>
  <c r="I60" i="11"/>
  <c r="T114" i="12"/>
  <c r="Z23" i="12"/>
  <c r="U20" i="12"/>
  <c r="U22" i="12"/>
  <c r="U17" i="12"/>
  <c r="U19" i="12"/>
  <c r="U21" i="12"/>
  <c r="U18" i="12"/>
  <c r="U16" i="12"/>
  <c r="I104" i="12"/>
  <c r="AB45" i="12"/>
  <c r="X45" i="12"/>
  <c r="AD45" i="12"/>
  <c r="AF45" i="12" s="1"/>
  <c r="E63" i="16"/>
  <c r="E67" i="16" s="1"/>
  <c r="E42" i="16"/>
  <c r="I42" i="16" s="1"/>
  <c r="I72" i="11"/>
  <c r="I56" i="11"/>
  <c r="F29" i="16"/>
  <c r="F50" i="11"/>
  <c r="F24" i="16" s="1"/>
  <c r="F58" i="12"/>
  <c r="I58" i="12" s="1"/>
  <c r="I53" i="12"/>
  <c r="B74" i="12"/>
  <c r="C83" i="2"/>
  <c r="N81" i="2"/>
  <c r="AB21" i="12"/>
  <c r="X21" i="12"/>
  <c r="I16" i="12"/>
  <c r="B23" i="12"/>
  <c r="B20" i="15" s="1"/>
  <c r="X101" i="12"/>
  <c r="AB101" i="12"/>
  <c r="X81" i="12"/>
  <c r="AD81" i="12"/>
  <c r="AF81" i="12" s="1"/>
  <c r="AB81" i="12"/>
  <c r="B49" i="12"/>
  <c r="I40" i="12"/>
  <c r="Z59" i="12"/>
  <c r="H74" i="12"/>
  <c r="I67" i="12"/>
  <c r="I95" i="11"/>
  <c r="B57" i="16"/>
  <c r="AB106" i="12"/>
  <c r="X106" i="12"/>
  <c r="B24" i="16"/>
  <c r="I39" i="11"/>
  <c r="B18" i="16"/>
  <c r="X54" i="12"/>
  <c r="AB54" i="12"/>
  <c r="AD54" i="12"/>
  <c r="AF54" i="12" s="1"/>
  <c r="B16" i="16"/>
  <c r="I32" i="11"/>
  <c r="B41" i="11"/>
  <c r="I83" i="12"/>
  <c r="B96" i="12"/>
  <c r="E116" i="12"/>
  <c r="E120" i="12" s="1"/>
  <c r="C43" i="16"/>
  <c r="C51" i="16" s="1"/>
  <c r="C53" i="16" s="1"/>
  <c r="C87" i="11"/>
  <c r="C89" i="11" s="1"/>
  <c r="G61" i="16"/>
  <c r="I56" i="16"/>
  <c r="AB59" i="12"/>
  <c r="C25" i="11"/>
  <c r="C27" i="11" s="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N11" i="2"/>
  <c r="P5" i="2"/>
  <c r="Q5" i="2" s="1"/>
  <c r="P57" i="2"/>
  <c r="Q57" i="2" s="1"/>
  <c r="B39" i="16"/>
  <c r="B87" i="11"/>
  <c r="I69" i="11"/>
  <c r="I28" i="12"/>
  <c r="G37" i="15"/>
  <c r="G41" i="15" s="1"/>
  <c r="I72" i="10"/>
  <c r="I82" i="10" s="1"/>
  <c r="N59" i="2"/>
  <c r="P59" i="2" s="1"/>
  <c r="Q59" i="2" s="1"/>
  <c r="F65" i="2"/>
  <c r="F66" i="2" s="1"/>
  <c r="F74" i="2" s="1"/>
  <c r="D38" i="11"/>
  <c r="I35" i="5"/>
  <c r="D46" i="12"/>
  <c r="X82" i="12"/>
  <c r="AB82" i="12"/>
  <c r="AD82" i="12"/>
  <c r="AF82" i="12" s="1"/>
  <c r="P31" i="15"/>
  <c r="T74" i="12"/>
  <c r="C35" i="15"/>
  <c r="G120" i="12"/>
  <c r="D22" i="12"/>
  <c r="D14" i="11"/>
  <c r="I25" i="5"/>
  <c r="R116" i="12"/>
  <c r="R120" i="12" s="1"/>
  <c r="I92" i="11"/>
  <c r="I105" i="11" s="1"/>
  <c r="I86" i="12"/>
  <c r="D96" i="12"/>
  <c r="D32" i="15" s="1"/>
  <c r="O37" i="15"/>
  <c r="O41" i="15" s="1"/>
  <c r="AD59" i="12"/>
  <c r="AF59" i="12" s="1"/>
  <c r="F61" i="6"/>
  <c r="S30" i="15"/>
  <c r="F39" i="16"/>
  <c r="F87" i="11"/>
  <c r="Q116" i="12"/>
  <c r="Q120" i="12" s="1"/>
  <c r="F28" i="16"/>
  <c r="I28" i="16" s="1"/>
  <c r="I55" i="11"/>
  <c r="E51" i="16"/>
  <c r="E53" i="16" s="1"/>
  <c r="S21" i="15"/>
  <c r="Y21" i="15" s="1"/>
  <c r="E87" i="11"/>
  <c r="E89" i="11" s="1"/>
  <c r="E107" i="11" s="1"/>
  <c r="E111" i="11" s="1"/>
  <c r="I97" i="11"/>
  <c r="C58" i="16"/>
  <c r="T35" i="12"/>
  <c r="I69" i="12"/>
  <c r="AD64" i="12"/>
  <c r="AF64" i="12" s="1"/>
  <c r="AB64" i="12"/>
  <c r="X64" i="12"/>
  <c r="X47" i="12"/>
  <c r="AB47" i="12"/>
  <c r="AD47" i="12"/>
  <c r="AF47" i="12" s="1"/>
  <c r="J83" i="2"/>
  <c r="J92" i="2" s="1"/>
  <c r="N82" i="2"/>
  <c r="P82" i="2" s="1"/>
  <c r="Q82" i="2" s="1"/>
  <c r="D36" i="2"/>
  <c r="N86" i="2"/>
  <c r="C91" i="2"/>
  <c r="I18" i="11"/>
  <c r="X20" i="12"/>
  <c r="AB20" i="12"/>
  <c r="AD20" i="12"/>
  <c r="AF20" i="12" s="1"/>
  <c r="E66" i="2"/>
  <c r="E74" i="2" s="1"/>
  <c r="I20" i="11"/>
  <c r="E36" i="2"/>
  <c r="E46" i="2"/>
  <c r="B35" i="2"/>
  <c r="X19" i="12"/>
  <c r="AB19" i="12"/>
  <c r="AD19" i="12"/>
  <c r="AF19" i="12" s="1"/>
  <c r="N266" i="2" l="1"/>
  <c r="D46" i="2"/>
  <c r="Z49" i="12"/>
  <c r="U43" i="12"/>
  <c r="U45" i="12"/>
  <c r="U42" i="12"/>
  <c r="U48" i="12"/>
  <c r="U46" i="12"/>
  <c r="U40" i="12"/>
  <c r="U49" i="12" s="1"/>
  <c r="U44" i="12"/>
  <c r="U47" i="12"/>
  <c r="U41" i="12"/>
  <c r="L25" i="15"/>
  <c r="S24" i="15"/>
  <c r="Y24" i="15" s="1"/>
  <c r="I24" i="16"/>
  <c r="B33" i="12"/>
  <c r="I29" i="12"/>
  <c r="I114" i="12"/>
  <c r="J114" i="12" s="1"/>
  <c r="B25" i="11"/>
  <c r="U28" i="12"/>
  <c r="U32" i="12"/>
  <c r="U30" i="12"/>
  <c r="Z33" i="12"/>
  <c r="U26" i="12"/>
  <c r="U31" i="12"/>
  <c r="U33" i="12" s="1"/>
  <c r="U27" i="12"/>
  <c r="F51" i="16"/>
  <c r="C35" i="12"/>
  <c r="C116" i="12" s="1"/>
  <c r="C120" i="12" s="1"/>
  <c r="I32" i="12"/>
  <c r="AB32" i="12" s="1"/>
  <c r="I26" i="12"/>
  <c r="AD26" i="12" s="1"/>
  <c r="AF26" i="12" s="1"/>
  <c r="I52" i="12"/>
  <c r="X52" i="12" s="1"/>
  <c r="C268" i="2"/>
  <c r="I46" i="2"/>
  <c r="C36" i="2"/>
  <c r="I36" i="2"/>
  <c r="AD30" i="12"/>
  <c r="AF30" i="12" s="1"/>
  <c r="X30" i="12"/>
  <c r="J268" i="2"/>
  <c r="AB31" i="12"/>
  <c r="X31" i="12"/>
  <c r="X60" i="12"/>
  <c r="AD60" i="12"/>
  <c r="AF60" i="12" s="1"/>
  <c r="I68" i="5"/>
  <c r="I75" i="5" s="1"/>
  <c r="I78" i="5" s="1"/>
  <c r="I24" i="11"/>
  <c r="D22" i="16"/>
  <c r="D66" i="11"/>
  <c r="I44" i="11"/>
  <c r="I25" i="11"/>
  <c r="I33" i="12"/>
  <c r="J30" i="12" s="1"/>
  <c r="B24" i="15"/>
  <c r="B25" i="15" s="1"/>
  <c r="I25" i="15" s="1"/>
  <c r="P266" i="2"/>
  <c r="Q266" i="2" s="1"/>
  <c r="P186" i="2"/>
  <c r="Q186" i="2" s="1"/>
  <c r="H78" i="2"/>
  <c r="H268" i="2"/>
  <c r="K74" i="2"/>
  <c r="K46" i="2"/>
  <c r="K36" i="2"/>
  <c r="L74" i="2"/>
  <c r="L268" i="2" s="1"/>
  <c r="L36" i="2"/>
  <c r="L46" i="2"/>
  <c r="H36" i="2"/>
  <c r="H46" i="2"/>
  <c r="I85" i="10"/>
  <c r="F74" i="12"/>
  <c r="F31" i="15" s="1"/>
  <c r="F33" i="15" s="1"/>
  <c r="F35" i="12"/>
  <c r="I50" i="11"/>
  <c r="F36" i="16"/>
  <c r="F53" i="16" s="1"/>
  <c r="I29" i="16"/>
  <c r="I59" i="16"/>
  <c r="F61" i="16"/>
  <c r="E268" i="2"/>
  <c r="E78" i="2"/>
  <c r="X86" i="12"/>
  <c r="AB86" i="12"/>
  <c r="C9" i="16"/>
  <c r="C11" i="16" s="1"/>
  <c r="C27" i="15"/>
  <c r="C37" i="15" s="1"/>
  <c r="C41" i="15" s="1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B89" i="11"/>
  <c r="B61" i="16"/>
  <c r="I57" i="16"/>
  <c r="U59" i="12"/>
  <c r="C92" i="2"/>
  <c r="B35" i="15"/>
  <c r="I35" i="15" s="1"/>
  <c r="U23" i="12"/>
  <c r="Z114" i="12"/>
  <c r="U114" i="12"/>
  <c r="M36" i="2"/>
  <c r="M74" i="2"/>
  <c r="M46" i="2"/>
  <c r="G78" i="2"/>
  <c r="G268" i="2"/>
  <c r="I23" i="16"/>
  <c r="B36" i="16"/>
  <c r="I43" i="16"/>
  <c r="D49" i="12"/>
  <c r="I49" i="12" s="1"/>
  <c r="I46" i="12"/>
  <c r="B51" i="16"/>
  <c r="I51" i="16" s="1"/>
  <c r="I39" i="16"/>
  <c r="F78" i="2"/>
  <c r="F268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N65" i="2"/>
  <c r="P65" i="2" s="1"/>
  <c r="Q65" i="2" s="1"/>
  <c r="C107" i="11"/>
  <c r="C111" i="11" s="1"/>
  <c r="B32" i="15"/>
  <c r="I96" i="12"/>
  <c r="J86" i="12" s="1"/>
  <c r="F98" i="12"/>
  <c r="F116" i="12" s="1"/>
  <c r="F120" i="12" s="1"/>
  <c r="B31" i="15"/>
  <c r="X104" i="12"/>
  <c r="AB104" i="12"/>
  <c r="P55" i="2"/>
  <c r="Q55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98" i="12"/>
  <c r="H116" i="12" s="1"/>
  <c r="H120" i="12" s="1"/>
  <c r="N83" i="2"/>
  <c r="P81" i="2"/>
  <c r="Q81" i="2" s="1"/>
  <c r="AD58" i="12"/>
  <c r="AF58" i="12" s="1"/>
  <c r="AB58" i="12"/>
  <c r="X58" i="12"/>
  <c r="B46" i="2"/>
  <c r="B36" i="2"/>
  <c r="B74" i="2"/>
  <c r="N91" i="2"/>
  <c r="P91" i="2" s="1"/>
  <c r="Q91" i="2" s="1"/>
  <c r="P86" i="2"/>
  <c r="Q86" i="2" s="1"/>
  <c r="D268" i="2"/>
  <c r="D78" i="2"/>
  <c r="Y30" i="15"/>
  <c r="I87" i="11"/>
  <c r="T116" i="12"/>
  <c r="T121" i="12" s="1"/>
  <c r="X83" i="12"/>
  <c r="AD83" i="12"/>
  <c r="AF83" i="12" s="1"/>
  <c r="AB83" i="12"/>
  <c r="B19" i="16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89" i="11" s="1"/>
  <c r="F107" i="11" s="1"/>
  <c r="F111" i="11" s="1"/>
  <c r="H36" i="16"/>
  <c r="H53" i="16" s="1"/>
  <c r="H63" i="16" s="1"/>
  <c r="H67" i="16" s="1"/>
  <c r="I31" i="16"/>
  <c r="AB77" i="12"/>
  <c r="X77" i="12"/>
  <c r="AD77" i="12"/>
  <c r="AF77" i="12" s="1"/>
  <c r="I78" i="2"/>
  <c r="I268" i="2"/>
  <c r="X29" i="12" l="1"/>
  <c r="AD29" i="12"/>
  <c r="AF29" i="12" s="1"/>
  <c r="AB29" i="12"/>
  <c r="AB33" i="12" s="1"/>
  <c r="AB52" i="12"/>
  <c r="S25" i="15"/>
  <c r="Y25" i="15" s="1"/>
  <c r="L27" i="15"/>
  <c r="AD52" i="12"/>
  <c r="AF52" i="12" s="1"/>
  <c r="J27" i="12"/>
  <c r="AD32" i="12"/>
  <c r="AF32" i="12" s="1"/>
  <c r="B116" i="12"/>
  <c r="I15" i="11"/>
  <c r="B9" i="16"/>
  <c r="I9" i="16" s="1"/>
  <c r="AB26" i="12"/>
  <c r="X26" i="12"/>
  <c r="X32" i="12"/>
  <c r="I22" i="16"/>
  <c r="D36" i="16"/>
  <c r="D53" i="16" s="1"/>
  <c r="D89" i="11"/>
  <c r="I89" i="11" s="1"/>
  <c r="I24" i="15"/>
  <c r="AC24" i="15" s="1"/>
  <c r="AE24" i="15" s="1"/>
  <c r="J29" i="12"/>
  <c r="J28" i="12"/>
  <c r="X33" i="12"/>
  <c r="J32" i="12"/>
  <c r="J31" i="12"/>
  <c r="J26" i="12"/>
  <c r="AD33" i="12"/>
  <c r="AF33" i="12" s="1"/>
  <c r="K268" i="2"/>
  <c r="K78" i="2"/>
  <c r="N66" i="2"/>
  <c r="P66" i="2" s="1"/>
  <c r="Q66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F63" i="16"/>
  <c r="F67" i="16" s="1"/>
  <c r="B33" i="15"/>
  <c r="P35" i="2"/>
  <c r="Q35" i="2" s="1"/>
  <c r="N36" i="2"/>
  <c r="P36" i="2" s="1"/>
  <c r="Q36" i="2" s="1"/>
  <c r="N46" i="2"/>
  <c r="P46" i="2" s="1"/>
  <c r="Q46" i="2" s="1"/>
  <c r="M268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B107" i="11"/>
  <c r="D20" i="15"/>
  <c r="D21" i="15" s="1"/>
  <c r="D35" i="12"/>
  <c r="I35" i="12" s="1"/>
  <c r="D30" i="15"/>
  <c r="D33" i="15" s="1"/>
  <c r="D98" i="12"/>
  <c r="I98" i="12" s="1"/>
  <c r="AA35" i="15"/>
  <c r="W35" i="15"/>
  <c r="AC35" i="15"/>
  <c r="AE35" i="15" s="1"/>
  <c r="I61" i="16"/>
  <c r="F37" i="15"/>
  <c r="F41" i="15" s="1"/>
  <c r="B78" i="2"/>
  <c r="B268" i="2"/>
  <c r="N92" i="2"/>
  <c r="P92" i="2" s="1"/>
  <c r="Q92" i="2" s="1"/>
  <c r="P83" i="2"/>
  <c r="Q83" i="2" s="1"/>
  <c r="W25" i="15"/>
  <c r="AC25" i="15"/>
  <c r="AE25" i="15" s="1"/>
  <c r="U74" i="12"/>
  <c r="C63" i="16"/>
  <c r="C67" i="16" s="1"/>
  <c r="J40" i="12"/>
  <c r="I19" i="16"/>
  <c r="B53" i="16"/>
  <c r="B21" i="15"/>
  <c r="Z116" i="12"/>
  <c r="T120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L37" i="15" l="1"/>
  <c r="S27" i="15"/>
  <c r="Y27" i="15" s="1"/>
  <c r="W24" i="15"/>
  <c r="D107" i="11"/>
  <c r="D111" i="11" s="1"/>
  <c r="J58" i="12"/>
  <c r="I36" i="16"/>
  <c r="I20" i="15"/>
  <c r="AC20" i="15" s="1"/>
  <c r="AE20" i="15" s="1"/>
  <c r="I53" i="16"/>
  <c r="AA24" i="15"/>
  <c r="AA25" i="15" s="1"/>
  <c r="J33" i="12"/>
  <c r="AC31" i="15"/>
  <c r="AE31" i="15" s="1"/>
  <c r="J63" i="12"/>
  <c r="J60" i="12"/>
  <c r="J56" i="12"/>
  <c r="W31" i="15"/>
  <c r="N74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AB98" i="12"/>
  <c r="X98" i="12"/>
  <c r="AD98" i="12"/>
  <c r="J98" i="12"/>
  <c r="I21" i="15"/>
  <c r="B7" i="16"/>
  <c r="B27" i="15"/>
  <c r="J49" i="12"/>
  <c r="D116" i="12"/>
  <c r="D120" i="12" s="1"/>
  <c r="I30" i="15"/>
  <c r="B120" i="12"/>
  <c r="D7" i="16"/>
  <c r="D11" i="16" s="1"/>
  <c r="D63" i="16" s="1"/>
  <c r="D67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1" i="11"/>
  <c r="L41" i="15" l="1"/>
  <c r="S37" i="15"/>
  <c r="I107" i="11"/>
  <c r="I111" i="11" s="1"/>
  <c r="W20" i="15"/>
  <c r="AA20" i="15"/>
  <c r="I116" i="12"/>
  <c r="N77" i="2"/>
  <c r="P77" i="2" s="1"/>
  <c r="Q77" i="2" s="1"/>
  <c r="N268" i="2"/>
  <c r="P268" i="2" s="1"/>
  <c r="Q268" i="2" s="1"/>
  <c r="J74" i="12"/>
  <c r="P74" i="2"/>
  <c r="Q74" i="2" s="1"/>
  <c r="B37" i="15"/>
  <c r="B41" i="15" s="1"/>
  <c r="I27" i="15"/>
  <c r="I7" i="16"/>
  <c r="B11" i="16"/>
  <c r="AA30" i="15"/>
  <c r="W30" i="15"/>
  <c r="AC30" i="15"/>
  <c r="AE30" i="15" s="1"/>
  <c r="I33" i="15"/>
  <c r="AC21" i="15"/>
  <c r="AE21" i="15" s="1"/>
  <c r="AA21" i="15"/>
  <c r="W21" i="15"/>
  <c r="Y37" i="15" l="1"/>
  <c r="Y41" i="15" s="1"/>
  <c r="S41" i="15"/>
  <c r="I120" i="12"/>
  <c r="I121" i="12"/>
  <c r="X116" i="12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41" i="15"/>
  <c r="B67" i="16"/>
  <c r="I63" i="16"/>
  <c r="I6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06" authorId="0" shapeId="0" xr:uid="{83148471-7903-47FD-971B-954A70493BCC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07" authorId="0" shapeId="0" xr:uid="{3D6605C5-47DD-483F-BE2F-923903B4ABD4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29" authorId="0" shapeId="0" xr:uid="{643214EC-D1CC-48DB-B38F-9DD07A07482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<sst xmlns="http://schemas.openxmlformats.org/spreadsheetml/2006/main" count="1092" uniqueCount="468">
  <si>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</si>
  <si>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</si>
  <si>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</si>
  <si>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</si>
  <si>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</si>
  <si>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</si>
  <si>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</si>
  <si>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</si>
  <si>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</si>
  <si>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</si>
  <si>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</si>
  <si>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</si>
  <si>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</si>
  <si>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</si>
  <si>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</si>
  <si>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</si>
  <si>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</si>
  <si>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</si>
  <si>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</si>
  <si>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</si>
  <si>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</si>
  <si>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</si>
  <si>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</si>
  <si>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</si>
  <si>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</si>
  <si>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</si>
  <si>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</si>
  <si>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</si>
  <si>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</si>
  <si>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</si>
  <si>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</si>
  <si>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</si>
  <si>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</si>
  <si>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</si>
  <si>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</si>
  <si>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</si>
  <si>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</si>
  <si>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</si>
  <si>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</si>
  <si>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</si>
  <si>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</si>
  <si>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</si>
  <si>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</si>
  <si>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</si>
  <si>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</si>
  <si>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</si>
  <si>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</si>
  <si>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</si>
  <si>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</si>
  <si>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</si>
  <si>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</si>
  <si>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</si>
  <si>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</si>
  <si>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</si>
  <si>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</si>
  <si>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</si>
  <si>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</si>
  <si>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</si>
  <si>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</si>
  <si>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</si>
  <si>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</si>
  <si>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</si>
  <si>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</si>
  <si>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</si>
  <si>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</si>
  <si>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</si>
  <si>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</si>
  <si>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</si>
  <si>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</si>
  <si>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</si>
  <si>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</si>
  <si>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</si>
  <si>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</si>
  <si>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</si>
  <si>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</si>
  <si>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</si>
  <si>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</si>
  <si>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</si>
  <si>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</si>
  <si>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</si>
  <si>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</si>
  <si>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</si>
  <si>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</si>
  <si>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</si>
  <si>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</si>
  <si>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</si>
  <si>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</si>
  <si>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</si>
  <si>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</si>
  <si>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</si>
  <si>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</si>
  <si>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</si>
  <si>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</si>
  <si>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</si>
  <si>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</si>
  <si>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</si>
  <si>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</si>
  <si>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</si>
  <si>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</si>
  <si>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</si>
  <si>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</si>
  <si>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</si>
  <si>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</si>
  <si>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</si>
  <si>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</si>
  <si>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</si>
  <si>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</si>
  <si>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</si>
  <si>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</si>
  <si>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</si>
  <si>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</si>
  <si>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</si>
  <si>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</si>
  <si>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</si>
  <si>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</si>
  <si>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</si>
  <si>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</si>
  <si>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</si>
  <si>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</si>
  <si>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</si>
  <si>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</si>
  <si>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</si>
  <si>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</si>
  <si>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</si>
  <si>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</si>
  <si>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</si>
  <si>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</si>
  <si>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</si>
  <si>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</si>
  <si>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</si>
  <si>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</si>
  <si>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</si>
  <si>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</si>
  <si>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</si>
  <si>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</si>
  <si>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</si>
  <si>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</si>
  <si>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</si>
  <si>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</si>
  <si>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</si>
  <si>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</si>
  <si>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</si>
  <si>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</si>
  <si>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</si>
  <si>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</si>
  <si>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</si>
  <si>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</si>
  <si>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</si>
  <si>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</si>
  <si>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</si>
  <si>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</si>
  <si>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</si>
  <si>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</si>
  <si>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</si>
  <si>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</si>
  <si>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</si>
  <si>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</si>
  <si>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</si>
  <si>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</si>
  <si>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</si>
  <si>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</si>
  <si>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</si>
  <si>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</si>
  <si>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 SPACE - ROOF SOLAR PANELS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</si>
  <si>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</si>
  <si>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</si>
  <si>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</si>
  <si>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</si>
  <si>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</si>
  <si>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</si>
  <si>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</si>
  <si>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</si>
  <si>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</si>
  <si>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</si>
  <si>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</si>
  <si>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</si>
  <si>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</si>
  <si>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</si>
  <si>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</si>
  <si>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</si>
  <si>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</si>
  <si>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</si>
  <si>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</si>
  <si>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</si>
  <si>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</si>
  <si>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</si>
  <si>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</si>
  <si>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</si>
  <si>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</si>
  <si>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</si>
  <si>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</si>
  <si>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</si>
  <si>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</si>
  <si>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</si>
  <si>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</si>
  <si>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</si>
  <si>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</si>
  <si>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</si>
  <si>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</si>
  <si>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</si>
  <si>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</si>
  <si>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</si>
  <si>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</si>
  <si>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</si>
  <si>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</si>
  <si>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</si>
  <si>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</si>
  <si>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</si>
  <si>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</si>
  <si>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</si>
  <si>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</si>
  <si>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</si>
  <si>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</si>
  <si>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</si>
  <si>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</si>
  <si>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</si>
  <si>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</si>
  <si>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</si>
  <si>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</si>
  <si>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</si>
  <si>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</si>
  <si>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</si>
  <si>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</si>
  <si>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</si>
  <si>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</si>
  <si>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</si>
  <si>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</si>
  <si>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</si>
  <si>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</si>
  <si>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</si>
  <si>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</si>
  <si>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</si>
  <si>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</si>
  <si>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</si>
  <si>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</si>
  <si>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</si>
  <si>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</si>
  <si>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</si>
  <si>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</si>
  <si>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</si>
  <si>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</si>
  <si>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</si>
  <si>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</si>
  <si>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</si>
  <si>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</si>
  <si>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</si>
  <si>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</si>
  <si>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</si>
  <si>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</si>
  <si>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</si>
  <si>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</si>
  <si>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</si>
  <si>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</si>
  <si>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</si>
  <si>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</si>
  <si>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</si>
  <si>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</si>
  <si>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</si>
  <si>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</si>
  <si>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</si>
  <si>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</si>
  <si>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</si>
  <si>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</si>
  <si>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</si>
  <si>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</si>
  <si>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</si>
  <si>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</si>
  <si>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</si>
  <si>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</si>
  <si>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</si>
  <si>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</si>
  <si>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</si>
  <si>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</si>
  <si>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</si>
  <si>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</si>
  <si>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</si>
  <si>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</si>
  <si>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</si>
  <si>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</si>
  <si>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</si>
  <si>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</si>
  <si>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</si>
  <si>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</si>
  <si>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</si>
  <si>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</si>
  <si>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</si>
  <si>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</si>
  <si>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</si>
  <si>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</si>
  <si>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</si>
  <si>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</si>
  <si>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</si>
  <si>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</si>
  <si>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</si>
  <si>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</si>
  <si>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</si>
  <si>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</si>
  <si>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</si>
  <si>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</si>
  <si>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</si>
  <si>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</si>
  <si>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</si>
  <si>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</si>
  <si>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</si>
  <si>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</si>
  <si>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</si>
  <si>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</si>
  <si>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</si>
  <si>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</si>
  <si>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</si>
  <si>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</si>
  <si>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</si>
  <si>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</si>
  <si>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</si>
  <si>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</si>
  <si>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</si>
  <si>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</si>
  <si>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</si>
  <si>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</si>
  <si>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</si>
  <si>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</si>
  <si>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</si>
  <si>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</si>
  <si>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</si>
  <si>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</si>
  <si>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</si>
  <si>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</si>
  <si>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</si>
  <si>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</si>
  <si>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</si>
  <si>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</si>
  <si>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</si>
  <si>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</si>
  <si>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</si>
  <si>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</si>
  <si>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</si>
  <si>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</si>
  <si>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</si>
  <si>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</si>
  <si>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</si>
  <si>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</si>
  <si>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</si>
  <si>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</si>
  <si>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</si>
  <si>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</si>
  <si>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</si>
  <si>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</si>
  <si>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</si>
  <si>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</si>
  <si>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</si>
  <si>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</si>
  <si>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</si>
  <si>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</si>
  <si>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</si>
  <si>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</si>
  <si>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</si>
  <si>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</si>
  <si>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</si>
  <si>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</si>
  <si>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</si>
  <si>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</si>
  <si>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</si>
  <si>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</si>
  <si>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</si>
  <si>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</si>
  <si>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</si>
  <si>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</si>
  <si>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</si>
  <si>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</si>
  <si>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</si>
  <si>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</si>
  <si>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</si>
  <si>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</si>
  <si>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</si>
  <si>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</si>
  <si>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</si>
  <si>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</si>
  <si>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</si>
  <si>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</si>
  <si>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</si>
  <si>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</si>
  <si>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</si>
  <si>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</si>
  <si>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</si>
  <si>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</si>
  <si>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</si>
  <si>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</si>
  <si>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</si>
  <si>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</si>
  <si>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</si>
  <si>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</si>
  <si>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</si>
  <si>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</si>
  <si>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</si>
  <si>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</si>
  <si>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</si>
  <si>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</si>
  <si>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</si>
  <si>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</si>
  <si>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</si>
  <si>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</si>
  <si>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</si>
  <si>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</si>
  <si>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</si>
  <si>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</si>
  <si>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</si>
  <si>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</si>
  <si>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</si>
  <si>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</si>
  <si>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</si>
  <si>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</si>
  <si>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</si>
  <si>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</si>
  <si>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</si>
  <si>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</si>
  <si>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</si>
  <si>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</si>
  <si>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</si>
  <si>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</si>
  <si>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</si>
  <si>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</si>
  <si>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</si>
  <si>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</si>
  <si>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</si>
  <si>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</si>
  <si>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>Accounting</t>
  </si>
  <si>
    <t>fees</t>
  </si>
  <si>
    <t>Appraisal fee</t>
  </si>
  <si>
    <t>from Bank RI</t>
  </si>
  <si>
    <t>includes</t>
  </si>
  <si>
    <t xml:space="preserve">      Palladium</t>
  </si>
  <si>
    <t xml:space="preserve">      Professional Fees - Audit &amp; Tax</t>
  </si>
  <si>
    <t>PM Off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</si>
  <si>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</si>
  <si>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</si>
  <si>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</si>
  <si>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</si>
  <si>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</si>
  <si>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</si>
  <si>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</si>
  <si>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</si>
  <si>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</si>
  <si>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</si>
  <si>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</si>
  <si>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</si>
  <si>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</si>
  <si>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</si>
  <si>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</si>
  <si>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</si>
  <si>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</si>
  <si>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07/31/2018 to 7/31/2017</t>
  </si>
  <si>
    <t>July</t>
  </si>
  <si>
    <t xml:space="preserve">      Bank Service Fees</t>
  </si>
  <si>
    <t xml:space="preserve">      Rental Income - DEP</t>
  </si>
  <si>
    <t xml:space="preserve">      Rental Income - other</t>
  </si>
  <si>
    <t>Minting - PO Variance Adj - Copper</t>
  </si>
  <si>
    <t xml:space="preserve">      COGS - Copper - Minting</t>
  </si>
  <si>
    <t>07/31/2018 to 07/31/2017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</si>
  <si>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</si>
  <si>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</si>
  <si>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</si>
  <si>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</si>
  <si>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</si>
  <si>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 xml:space="preserve">      Professional Fees</t>
  </si>
  <si>
    <t xml:space="preserve">      Employee Benefits </t>
  </si>
  <si>
    <t xml:space="preserve">      Meals &amp; Entertainment</t>
  </si>
  <si>
    <t>Other Income (Expense)</t>
  </si>
  <si>
    <t>Total Other Income 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</si>
</sst>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43" fontId="8" fillId="4" borderId="0" xfId="0" applyNumberFormat="1" applyFont="1" applyFill="1"/>
    <xf numFmtId="43" fontId="1" fillId="4" borderId="0" xfId="1" applyFont="1" applyFill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4" fillId="0" borderId="0" xfId="0" applyFont="1" applyAlignment="1">
      <alignment vertical="top"/>
    </xf>
    <xf numFmtId="0" fontId="14" fillId="0" borderId="0" xfId="0" applyFont="1" applyFill="1"/>
    <xf numFmtId="0" fontId="4" fillId="3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43" fontId="16" fillId="0" borderId="3" xfId="0" applyNumberFormat="1" applyFont="1" applyFill="1" applyBorder="1"/>
    <xf numFmtId="43" fontId="16" fillId="0" borderId="3" xfId="0" applyNumberFormat="1" applyFont="1" applyBorder="1"/>
    <xf numFmtId="43" fontId="16" fillId="0" borderId="5" xfId="0" applyNumberFormat="1" applyFont="1" applyBorder="1"/>
    <xf numFmtId="43" fontId="15" fillId="4" borderId="0" xfId="0" applyNumberFormat="1" applyFont="1" applyFill="1"/>
    <xf numFmtId="8" fontId="15" fillId="0" borderId="0" xfId="0" applyNumberFormat="1" applyFont="1" applyFill="1"/>
    <xf numFmtId="0" fontId="4" fillId="5" borderId="0" xfId="0" applyFont="1" applyFill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5" fontId="16" fillId="0" borderId="18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5" fontId="7" fillId="0" borderId="1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view="pageBreakPreview" zoomScale="60" zoomScaleNormal="100" workbookViewId="0">
      <pane ySplit="6" topLeftCell="A40" activePane="bottomLeft" state="frozen"/>
      <selection activeCell="M77" sqref="M77"/>
      <selection pane="bottomLeft" activeCell="A62" sqref="A62"/>
    </sheetView>
  </sheetViews>
  <sheetFormatPr defaultRowHeight="15" x14ac:dyDescent="0.25"/>
  <cols>
    <col min="1" max="1" width="47" bestFit="1" customWidth="1"/>
    <col min="2" max="2" width="23.42578125" style="55" bestFit="1" customWidth="1"/>
    <col min="3" max="3" width="19.7109375" style="55" bestFit="1" customWidth="1"/>
    <col min="4" max="8" width="18.7109375" style="55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165" t="s">
        <v>332</v>
      </c>
      <c r="B1" s="165"/>
      <c r="C1" s="165"/>
      <c r="D1" s="165"/>
      <c r="E1" s="165"/>
      <c r="F1" s="165"/>
      <c r="G1" s="165"/>
      <c r="H1" s="165"/>
      <c r="I1" s="165"/>
    </row>
    <row r="2" spans="1:12" ht="26.25" x14ac:dyDescent="0.4">
      <c r="A2" s="165" t="s">
        <v>331</v>
      </c>
      <c r="B2" s="165"/>
      <c r="C2" s="165"/>
      <c r="D2" s="165"/>
      <c r="E2" s="165"/>
      <c r="F2" s="165"/>
      <c r="G2" s="165"/>
      <c r="H2" s="165"/>
      <c r="I2" s="165"/>
    </row>
    <row r="3" spans="1:12" ht="26.25" x14ac:dyDescent="0.4">
      <c r="A3" s="165" t="s">
        <v>267</v>
      </c>
      <c r="B3" s="165"/>
      <c r="C3" s="165"/>
      <c r="D3" s="165"/>
      <c r="E3" s="165"/>
      <c r="F3" s="165"/>
      <c r="G3" s="165"/>
      <c r="H3" s="165"/>
      <c r="I3" s="165"/>
    </row>
    <row r="4" spans="1:12" ht="26.25" x14ac:dyDescent="0.4">
      <c r="A4" s="166">
        <v>43312</v>
      </c>
      <c r="B4" s="167"/>
      <c r="C4" s="167"/>
      <c r="D4" s="167"/>
      <c r="E4" s="167"/>
      <c r="F4" s="167"/>
      <c r="G4" s="167"/>
      <c r="H4" s="167"/>
      <c r="I4" s="167"/>
    </row>
    <row r="6" spans="1:12" s="88" customFormat="1" ht="30" customHeight="1" x14ac:dyDescent="0.3">
      <c r="B6" s="89" t="s">
        <v>213</v>
      </c>
      <c r="C6" s="89" t="s">
        <v>215</v>
      </c>
      <c r="D6" s="89" t="s">
        <v>214</v>
      </c>
      <c r="E6" s="89" t="s">
        <v>216</v>
      </c>
      <c r="F6" s="89" t="s">
        <v>217</v>
      </c>
      <c r="G6" s="89" t="s">
        <v>412</v>
      </c>
      <c r="H6" s="89" t="s">
        <v>423</v>
      </c>
      <c r="I6" s="89" t="s">
        <v>208</v>
      </c>
      <c r="L6" s="90"/>
    </row>
    <row r="7" spans="1:12" s="88" customFormat="1" ht="39.950000000000003" customHeight="1" x14ac:dyDescent="0.3">
      <c r="A7" s="91" t="s">
        <v>62</v>
      </c>
      <c r="B7" s="93">
        <f>'Comp Summary YTD 2018-2017 July'!B21</f>
        <v>3326130720.7700005</v>
      </c>
      <c r="C7" s="93">
        <f>'Comp Summary YTD 2018-2017 July'!C21</f>
        <v>54400365.580000006</v>
      </c>
      <c r="D7" s="93">
        <f>'Comp Summary YTD 2018-2017 July'!D21</f>
        <v>1376642.58</v>
      </c>
      <c r="E7" s="93">
        <f>'Comp Summary YTD 2018-2017 July'!E21</f>
        <v>0</v>
      </c>
      <c r="F7" s="93">
        <f>'Comp Summary YTD 2018-2017 July'!F21</f>
        <v>526720.24</v>
      </c>
      <c r="G7" s="93">
        <f>'Comp Summary YTD 2018-2017 July'!G21</f>
        <v>0</v>
      </c>
      <c r="H7" s="93">
        <f>'Comp Summary YTD 2018-2017 July'!H21</f>
        <v>0</v>
      </c>
      <c r="I7" s="93">
        <f>SUM(B7:H7)</f>
        <v>3382434449.1700001</v>
      </c>
      <c r="L7" s="90"/>
    </row>
    <row r="8" spans="1:12" s="88" customFormat="1" ht="39.950000000000003" customHeight="1" x14ac:dyDescent="0.3">
      <c r="B8" s="107"/>
      <c r="C8" s="107"/>
      <c r="D8" s="107"/>
      <c r="E8" s="107"/>
      <c r="F8" s="107"/>
      <c r="G8" s="107"/>
      <c r="H8" s="107"/>
      <c r="I8" s="107"/>
      <c r="L8" s="90"/>
    </row>
    <row r="9" spans="1:12" s="88" customFormat="1" ht="39.950000000000003" customHeight="1" x14ac:dyDescent="0.3">
      <c r="A9" s="91" t="s">
        <v>225</v>
      </c>
      <c r="B9" s="106">
        <f>'Comp Summary YTD 2018-2017 July'!B25</f>
        <v>3322302295.6300001</v>
      </c>
      <c r="C9" s="106">
        <f>'Comp Summary YTD 2018-2017 July'!C25</f>
        <v>53658550.809999995</v>
      </c>
      <c r="D9" s="106">
        <f>'Comp Summary YTD 2018-2017 July'!D25</f>
        <v>167151.18</v>
      </c>
      <c r="E9" s="106">
        <f>'Comp Summary YTD 2018-2017 July'!E25</f>
        <v>0</v>
      </c>
      <c r="F9" s="106">
        <f>'Comp Summary YTD 2018-2017 July'!F25</f>
        <v>1648.2199999999998</v>
      </c>
      <c r="G9" s="106">
        <f>'Comp Summary YTD 2018-2017 July'!G25</f>
        <v>0</v>
      </c>
      <c r="H9" s="106">
        <f>'Comp Summary YTD 2018-2017 July'!H25</f>
        <v>0</v>
      </c>
      <c r="I9" s="106">
        <f>SUM(B9:H9)</f>
        <v>3376129645.8399997</v>
      </c>
      <c r="L9" s="90"/>
    </row>
    <row r="10" spans="1:12" s="88" customFormat="1" ht="39.950000000000003" customHeight="1" x14ac:dyDescent="0.3">
      <c r="B10" s="92"/>
      <c r="C10" s="92"/>
      <c r="D10" s="92"/>
      <c r="E10" s="92"/>
      <c r="F10" s="92"/>
      <c r="G10" s="92"/>
      <c r="H10" s="92"/>
      <c r="I10" s="92"/>
      <c r="L10" s="90"/>
    </row>
    <row r="11" spans="1:12" s="88" customFormat="1" ht="39.950000000000003" customHeight="1" thickBot="1" x14ac:dyDescent="0.35">
      <c r="A11" s="91" t="s">
        <v>212</v>
      </c>
      <c r="B11" s="94">
        <f t="shared" ref="B11:H11" si="0">B7-B9</f>
        <v>3828425.1400003433</v>
      </c>
      <c r="C11" s="94">
        <f t="shared" si="0"/>
        <v>741814.77000001073</v>
      </c>
      <c r="D11" s="94">
        <f t="shared" si="0"/>
        <v>1209491.4000000001</v>
      </c>
      <c r="E11" s="94">
        <f t="shared" si="0"/>
        <v>0</v>
      </c>
      <c r="F11" s="94">
        <f t="shared" si="0"/>
        <v>525072.02</v>
      </c>
      <c r="G11" s="94">
        <f>G7-G9</f>
        <v>0</v>
      </c>
      <c r="H11" s="94">
        <f t="shared" si="0"/>
        <v>0</v>
      </c>
      <c r="I11" s="94">
        <f>SUM(B11:H11)</f>
        <v>6304803.330000354</v>
      </c>
      <c r="L11" s="90"/>
    </row>
    <row r="12" spans="1:12" s="88" customFormat="1" ht="30" customHeight="1" x14ac:dyDescent="0.3">
      <c r="B12" s="92"/>
      <c r="C12" s="92"/>
      <c r="D12" s="92"/>
      <c r="E12" s="92"/>
      <c r="F12" s="92"/>
      <c r="G12" s="92"/>
      <c r="H12" s="92"/>
      <c r="I12" s="92"/>
      <c r="L12" s="90"/>
    </row>
    <row r="13" spans="1:12" s="88" customFormat="1" ht="30" customHeight="1" x14ac:dyDescent="0.3">
      <c r="A13" s="91" t="s">
        <v>210</v>
      </c>
      <c r="B13" s="92"/>
      <c r="C13" s="92"/>
      <c r="D13" s="92"/>
      <c r="E13" s="92"/>
      <c r="F13" s="92"/>
      <c r="G13" s="92"/>
      <c r="H13" s="92"/>
      <c r="I13" s="92"/>
      <c r="L13" s="90"/>
    </row>
    <row r="14" spans="1:12" s="88" customFormat="1" ht="30" customHeight="1" x14ac:dyDescent="0.3">
      <c r="B14" s="92"/>
      <c r="C14" s="92"/>
      <c r="D14" s="92"/>
      <c r="E14" s="92"/>
      <c r="F14" s="92"/>
      <c r="G14" s="92"/>
      <c r="H14" s="92"/>
      <c r="I14" s="92"/>
      <c r="L14" s="90"/>
    </row>
    <row r="15" spans="1:12" s="88" customFormat="1" ht="30" customHeight="1" x14ac:dyDescent="0.3">
      <c r="A15" s="91" t="s">
        <v>226</v>
      </c>
      <c r="B15" s="92"/>
      <c r="C15" s="92"/>
      <c r="D15" s="92"/>
      <c r="E15" s="92"/>
      <c r="F15" s="92"/>
      <c r="G15" s="92"/>
      <c r="H15" s="92"/>
      <c r="I15" s="92"/>
      <c r="L15" s="90"/>
    </row>
    <row r="16" spans="1:12" s="88" customFormat="1" ht="30" customHeight="1" x14ac:dyDescent="0.3">
      <c r="B16" s="92">
        <f>'Summary YTD 07.31.18'!B32</f>
        <v>2166123.16</v>
      </c>
      <c r="C16" s="92">
        <f>'Summary YTD 07.31.18'!C32</f>
        <v>0</v>
      </c>
      <c r="D16" s="92">
        <f>'Summary YTD 07.31.18'!D32</f>
        <v>60387.05</v>
      </c>
      <c r="E16" s="92">
        <f>'Summary YTD 07.31.18'!E32</f>
        <v>0</v>
      </c>
      <c r="F16" s="92">
        <f>'Summary YTD 07.31.18'!F32</f>
        <v>194041.93</v>
      </c>
      <c r="G16" s="92">
        <f>'Summary YTD 07.31.18'!G32</f>
        <v>0</v>
      </c>
      <c r="H16" s="92">
        <f>'Summary YTD 07.31.18'!H32</f>
        <v>0</v>
      </c>
      <c r="I16" s="92">
        <f>SUM(B16:H16)</f>
        <v>2420552.14</v>
      </c>
      <c r="L16" s="90"/>
    </row>
    <row r="17" spans="1:12" s="88" customFormat="1" ht="30" customHeight="1" x14ac:dyDescent="0.3">
      <c r="A17" s="88" t="s">
        <v>229</v>
      </c>
      <c r="B17" s="92">
        <f>'Summary YTD 07.31.18'!B34</f>
        <v>190591.46999999997</v>
      </c>
      <c r="C17" s="92">
        <f>'Summary YTD 07.31.18'!C34</f>
        <v>0</v>
      </c>
      <c r="D17" s="92">
        <f>'Summary YTD 07.31.18'!D34</f>
        <v>6724.4800000000014</v>
      </c>
      <c r="E17" s="92">
        <f>'Summary YTD 07.31.18'!E34</f>
        <v>0</v>
      </c>
      <c r="F17" s="92">
        <f>'Summary YTD 07.31.18'!F34</f>
        <v>12841.160000000002</v>
      </c>
      <c r="G17" s="92">
        <f>'Summary YTD 07.31.18'!G34</f>
        <v>0</v>
      </c>
      <c r="H17" s="92">
        <f>'Summary YTD 07.31.18'!H34</f>
        <v>0</v>
      </c>
      <c r="I17" s="92">
        <f>SUM(B17:H17)</f>
        <v>210157.11</v>
      </c>
      <c r="L17" s="90"/>
    </row>
    <row r="18" spans="1:12" s="88" customFormat="1" ht="30" customHeight="1" x14ac:dyDescent="0.3">
      <c r="A18" s="88" t="s">
        <v>464</v>
      </c>
      <c r="B18" s="92">
        <f>'Summary YTD 07.31.18'!B33+'Summary YTD 07.31.18'!B35+'Summary YTD 07.31.18'!B36+'Summary YTD 07.31.18'!B37+'Summary YTD 07.31.18'!B38+'Summary YTD 07.31.18'!B39+'Summary YTD 07.31.18'!B40</f>
        <v>357169.45999999996</v>
      </c>
      <c r="C18" s="92">
        <f>'Summary YTD 07.31.18'!C33+'Summary YTD 07.31.18'!C35+'Summary YTD 07.31.18'!C36+'Summary YTD 07.31.18'!C37+'Summary YTD 07.31.18'!C38+'Summary YTD 07.31.18'!C39+'Summary YTD 07.31.18'!C40</f>
        <v>0</v>
      </c>
      <c r="D18" s="92">
        <f>'Summary YTD 07.31.18'!D33+'Summary YTD 07.31.18'!D35+'Summary YTD 07.31.18'!D36+'Summary YTD 07.31.18'!D37+'Summary YTD 07.31.18'!D38+'Summary YTD 07.31.18'!D39+'Summary YTD 07.31.18'!D40</f>
        <v>26815.06</v>
      </c>
      <c r="E18" s="92">
        <f>'Summary YTD 07.31.18'!E33+'Summary YTD 07.31.18'!E35+'Summary YTD 07.31.18'!E36+'Summary YTD 07.31.18'!E37+'Summary YTD 07.31.18'!E38+'Summary YTD 07.31.18'!E39+'Summary YTD 07.31.18'!E40</f>
        <v>0</v>
      </c>
      <c r="F18" s="92">
        <f>'Summary YTD 07.31.18'!F33+'Summary YTD 07.31.18'!F35+'Summary YTD 07.31.18'!F36+'Summary YTD 07.31.18'!F37+'Summary YTD 07.31.18'!F38+'Summary YTD 07.31.18'!F39+'Summary YTD 07.31.18'!F40</f>
        <v>43392.389999999992</v>
      </c>
      <c r="G18" s="92">
        <v>0</v>
      </c>
      <c r="H18" s="92">
        <f>'BSC (Dome)'!J24</f>
        <v>0</v>
      </c>
      <c r="I18" s="92">
        <f>SUM(B18:H18)</f>
        <v>427376.91</v>
      </c>
      <c r="L18" s="90"/>
    </row>
    <row r="19" spans="1:12" s="88" customFormat="1" ht="30" customHeight="1" x14ac:dyDescent="0.3">
      <c r="A19" s="91" t="s">
        <v>234</v>
      </c>
      <c r="B19" s="93">
        <f t="shared" ref="B19:H19" si="1">SUM(B16:B18)</f>
        <v>2713884.09</v>
      </c>
      <c r="C19" s="93">
        <f t="shared" si="1"/>
        <v>0</v>
      </c>
      <c r="D19" s="93">
        <f t="shared" si="1"/>
        <v>93926.59</v>
      </c>
      <c r="E19" s="93">
        <f t="shared" si="1"/>
        <v>0</v>
      </c>
      <c r="F19" s="93">
        <f t="shared" si="1"/>
        <v>250275.47999999998</v>
      </c>
      <c r="G19" s="93">
        <f t="shared" si="1"/>
        <v>0</v>
      </c>
      <c r="H19" s="93">
        <f t="shared" si="1"/>
        <v>0</v>
      </c>
      <c r="I19" s="93">
        <f>SUM(B19:H19)</f>
        <v>3058086.1599999997</v>
      </c>
      <c r="L19" s="90"/>
    </row>
    <row r="20" spans="1:12" s="88" customFormat="1" ht="30" customHeight="1" x14ac:dyDescent="0.3">
      <c r="B20" s="92"/>
      <c r="C20" s="92"/>
      <c r="D20" s="92"/>
      <c r="E20" s="92"/>
      <c r="F20" s="92"/>
      <c r="G20" s="92"/>
      <c r="H20" s="92"/>
      <c r="I20" s="92"/>
      <c r="L20" s="90"/>
    </row>
    <row r="21" spans="1:12" s="88" customFormat="1" ht="30" customHeight="1" x14ac:dyDescent="0.3">
      <c r="A21" s="91" t="s">
        <v>235</v>
      </c>
      <c r="B21" s="92"/>
      <c r="C21" s="92"/>
      <c r="D21" s="92"/>
      <c r="E21" s="92"/>
      <c r="F21" s="92"/>
      <c r="G21" s="92"/>
      <c r="H21" s="92"/>
      <c r="I21" s="92"/>
      <c r="L21" s="90"/>
    </row>
    <row r="22" spans="1:12" s="88" customFormat="1" ht="30" customHeight="1" x14ac:dyDescent="0.3">
      <c r="A22" s="88" t="s">
        <v>236</v>
      </c>
      <c r="B22" s="92">
        <f>'Summary YTD 07.31.18'!B44</f>
        <v>239400</v>
      </c>
      <c r="C22" s="92">
        <f>'Summary YTD 07.31.18'!C44</f>
        <v>0</v>
      </c>
      <c r="D22" s="92">
        <f>'Summary YTD 07.31.18'!D44</f>
        <v>262500</v>
      </c>
      <c r="E22" s="92">
        <f>'Summary YTD 07.31.18'!E44</f>
        <v>0</v>
      </c>
      <c r="F22" s="92">
        <f>'Summary YTD 07.31.18'!F44</f>
        <v>7000</v>
      </c>
      <c r="G22" s="92">
        <f>'Summary YTD 07.31.18'!G44</f>
        <v>0</v>
      </c>
      <c r="H22" s="92">
        <f>'Summary YTD 07.31.18'!H44</f>
        <v>0</v>
      </c>
      <c r="I22" s="92">
        <f>SUM(B22:H22)</f>
        <v>508900</v>
      </c>
      <c r="L22" s="90"/>
    </row>
    <row r="23" spans="1:12" s="88" customFormat="1" ht="30" customHeight="1" x14ac:dyDescent="0.3">
      <c r="A23" s="88" t="s">
        <v>291</v>
      </c>
      <c r="B23" s="92">
        <f>'Summary YTD 07.31.18'!B45+'Summary YTD 07.31.18'!B46+'Summary YTD 07.31.18'!B47</f>
        <v>13971.090000000002</v>
      </c>
      <c r="C23" s="92">
        <f>'Summary YTD 07.31.18'!C45+'Summary YTD 07.31.18'!C46+'Summary YTD 07.31.18'!C47</f>
        <v>0</v>
      </c>
      <c r="D23" s="92">
        <f>'Summary YTD 07.31.18'!D45+'Summary YTD 07.31.18'!D46+'Summary YTD 07.31.18'!D47</f>
        <v>47081.99</v>
      </c>
      <c r="E23" s="92">
        <f>'Summary YTD 07.31.18'!E45+'Summary YTD 07.31.18'!E46+'Summary YTD 07.31.18'!E47</f>
        <v>0</v>
      </c>
      <c r="F23" s="92">
        <f>'Summary YTD 07.31.18'!F45+'Summary YTD 07.31.18'!F46+'Summary YTD 07.31.18'!F47</f>
        <v>65091.479999999996</v>
      </c>
      <c r="G23" s="92">
        <f>'Summary YTD 07.31.18'!G45+'Summary YTD 07.31.18'!G46+'Summary YTD 07.31.18'!G47</f>
        <v>0</v>
      </c>
      <c r="H23" s="92">
        <f>'Summary YTD 07.31.18'!H45+'Summary YTD 07.31.18'!H46+'Summary YTD 07.31.18'!H47</f>
        <v>0</v>
      </c>
      <c r="I23" s="92">
        <f t="shared" ref="I23:I35" si="2">SUM(B23:H23)</f>
        <v>126144.56</v>
      </c>
      <c r="L23" s="90"/>
    </row>
    <row r="24" spans="1:12" s="88" customFormat="1" ht="30" customHeight="1" x14ac:dyDescent="0.3">
      <c r="A24" s="88" t="s">
        <v>416</v>
      </c>
      <c r="B24" s="92">
        <f>'Summary YTD 07.31.18'!B48+'Summary YTD 07.31.18'!B49+'Summary YTD 07.31.18'!B50+'Summary YTD 07.31.18'!B51</f>
        <v>105160.01999999999</v>
      </c>
      <c r="C24" s="92">
        <f>'Summary YTD 07.31.18'!C48+'Summary YTD 07.31.18'!C49+'Summary YTD 07.31.18'!C50+'Summary YTD 07.31.18'!C51</f>
        <v>2719.73</v>
      </c>
      <c r="D24" s="92">
        <f>'Summary YTD 07.31.18'!D48+'Summary YTD 07.31.18'!D49+'Summary YTD 07.31.18'!D50+'Summary YTD 07.31.18'!D51</f>
        <v>36173.659999999996</v>
      </c>
      <c r="E24" s="92">
        <f>'Summary YTD 07.31.18'!E48+'Summary YTD 07.31.18'!E49+'Summary YTD 07.31.18'!E50+'Summary YTD 07.31.18'!E51</f>
        <v>0</v>
      </c>
      <c r="F24" s="92">
        <f>'Summary YTD 07.31.18'!F48+'Summary YTD 07.31.18'!F49+'Summary YTD 07.31.18'!F50+'Summary YTD 07.31.18'!F51</f>
        <v>16695.72</v>
      </c>
      <c r="G24" s="92">
        <f>'Summary YTD 07.31.18'!G48+'Summary YTD 07.31.18'!G49+'Summary YTD 07.31.18'!G50+'Summary YTD 07.31.18'!G51</f>
        <v>0</v>
      </c>
      <c r="H24" s="92">
        <f>'Summary YTD 07.31.18'!H48+'Summary YTD 07.31.18'!H49+'Summary YTD 07.31.18'!H50+'Summary YTD 07.31.18'!H51</f>
        <v>0</v>
      </c>
      <c r="I24" s="92">
        <f>SUM(B24:H24)</f>
        <v>160749.12999999998</v>
      </c>
      <c r="L24" s="90"/>
    </row>
    <row r="25" spans="1:12" s="88" customFormat="1" ht="30" customHeight="1" x14ac:dyDescent="0.3">
      <c r="A25" s="88" t="s">
        <v>241</v>
      </c>
      <c r="B25" s="92">
        <f>'Summary YTD 07.31.18'!B52</f>
        <v>61238.800000000017</v>
      </c>
      <c r="C25" s="92">
        <f>'Summary YTD 07.31.18'!C52</f>
        <v>0</v>
      </c>
      <c r="D25" s="92">
        <f>'Summary YTD 07.31.18'!D52</f>
        <v>37384.850000000006</v>
      </c>
      <c r="E25" s="92">
        <f>'Summary YTD 07.31.18'!E52</f>
        <v>0</v>
      </c>
      <c r="F25" s="92">
        <f>'Summary YTD 07.31.18'!F52</f>
        <v>486.66999999999996</v>
      </c>
      <c r="G25" s="92">
        <f>'Summary YTD 07.31.18'!G52</f>
        <v>0</v>
      </c>
      <c r="H25" s="92">
        <f>'Summary YTD 07.31.18'!H52</f>
        <v>0</v>
      </c>
      <c r="I25" s="92">
        <f t="shared" si="2"/>
        <v>99110.320000000022</v>
      </c>
      <c r="L25" s="90"/>
    </row>
    <row r="26" spans="1:12" s="88" customFormat="1" ht="30" customHeight="1" x14ac:dyDescent="0.3">
      <c r="A26" s="88" t="s">
        <v>242</v>
      </c>
      <c r="B26" s="92">
        <f>'Summary YTD 07.31.18'!B53</f>
        <v>24366.89</v>
      </c>
      <c r="C26" s="92">
        <f>'Summary YTD 07.31.18'!C53</f>
        <v>0</v>
      </c>
      <c r="D26" s="92">
        <f>'Summary YTD 07.31.18'!D53</f>
        <v>10598.58</v>
      </c>
      <c r="E26" s="92">
        <f>'Summary YTD 07.31.18'!E53</f>
        <v>0</v>
      </c>
      <c r="F26" s="92">
        <f>'Summary YTD 07.31.18'!F53</f>
        <v>0</v>
      </c>
      <c r="G26" s="92">
        <f>'Summary YTD 07.31.18'!G53</f>
        <v>0</v>
      </c>
      <c r="H26" s="92">
        <f>'Summary YTD 07.31.18'!H53</f>
        <v>0</v>
      </c>
      <c r="I26" s="92">
        <f t="shared" si="2"/>
        <v>34965.47</v>
      </c>
      <c r="L26" s="90"/>
    </row>
    <row r="27" spans="1:12" s="88" customFormat="1" ht="30" customHeight="1" x14ac:dyDescent="0.3">
      <c r="A27" s="88" t="s">
        <v>240</v>
      </c>
      <c r="B27" s="92">
        <f>'Summary YTD 07.31.18'!B54</f>
        <v>35531.449999999997</v>
      </c>
      <c r="C27" s="92">
        <f>'Summary YTD 07.31.18'!C54</f>
        <v>0</v>
      </c>
      <c r="D27" s="92">
        <f>'Summary YTD 07.31.18'!D54</f>
        <v>112993.73</v>
      </c>
      <c r="E27" s="92">
        <f>'Summary YTD 07.31.18'!E54</f>
        <v>0</v>
      </c>
      <c r="F27" s="92">
        <f>'Summary YTD 07.31.18'!F54</f>
        <v>16970</v>
      </c>
      <c r="G27" s="92">
        <f>'Summary YTD 07.31.18'!G54</f>
        <v>0</v>
      </c>
      <c r="H27" s="92">
        <f>'Summary YTD 07.31.18'!H54</f>
        <v>0</v>
      </c>
      <c r="I27" s="92">
        <f t="shared" si="2"/>
        <v>165495.18</v>
      </c>
      <c r="L27" s="90"/>
    </row>
    <row r="28" spans="1:12" s="88" customFormat="1" ht="30" customHeight="1" x14ac:dyDescent="0.3">
      <c r="A28" s="88" t="s">
        <v>359</v>
      </c>
      <c r="B28" s="92">
        <f>'Summary YTD 07.31.18'!B55</f>
        <v>270</v>
      </c>
      <c r="C28" s="92">
        <f>'Summary YTD 07.31.18'!C55</f>
        <v>258.95000000000005</v>
      </c>
      <c r="D28" s="92">
        <f>'Summary YTD 07.31.18'!D55</f>
        <v>149</v>
      </c>
      <c r="E28" s="92">
        <f>'Summary YTD 07.31.18'!E55</f>
        <v>0</v>
      </c>
      <c r="F28" s="92">
        <f>'Summary YTD 07.31.18'!F55</f>
        <v>565</v>
      </c>
      <c r="G28" s="92">
        <f>'Summary YTD 07.31.18'!G55</f>
        <v>520</v>
      </c>
      <c r="H28" s="92">
        <f>'Summary YTD 07.31.18'!H55</f>
        <v>520</v>
      </c>
      <c r="I28" s="92">
        <f t="shared" si="2"/>
        <v>2282.9499999999998</v>
      </c>
      <c r="L28" s="90"/>
    </row>
    <row r="29" spans="1:12" s="88" customFormat="1" ht="30" customHeight="1" x14ac:dyDescent="0.3">
      <c r="A29" s="88" t="s">
        <v>243</v>
      </c>
      <c r="B29" s="92">
        <f>'Summary YTD 07.31.18'!B57+'Summary YTD 07.31.18'!B56</f>
        <v>7756.71</v>
      </c>
      <c r="C29" s="92">
        <f>'Summary YTD 07.31.18'!C57+'Summary YTD 07.31.18'!C56</f>
        <v>0</v>
      </c>
      <c r="D29" s="92">
        <f>'Summary YTD 07.31.18'!D57+'Summary YTD 07.31.18'!D56</f>
        <v>152.47</v>
      </c>
      <c r="E29" s="92">
        <f>'Summary YTD 07.31.18'!E57+'Summary YTD 07.31.18'!E56</f>
        <v>0</v>
      </c>
      <c r="F29" s="92">
        <f>'Summary YTD 07.31.18'!F57+'Summary YTD 07.31.18'!F56</f>
        <v>13357.91</v>
      </c>
      <c r="G29" s="92">
        <f>'Summary YTD 07.31.18'!G57+'Summary YTD 07.31.18'!G56</f>
        <v>0</v>
      </c>
      <c r="H29" s="92">
        <f>'Summary YTD 07.31.18'!H57+'Summary YTD 07.31.18'!H56</f>
        <v>0</v>
      </c>
      <c r="I29" s="92">
        <f t="shared" si="2"/>
        <v>21267.09</v>
      </c>
      <c r="L29" s="90"/>
    </row>
    <row r="30" spans="1:12" s="88" customFormat="1" ht="30" customHeight="1" x14ac:dyDescent="0.3">
      <c r="A30" s="88" t="s">
        <v>244</v>
      </c>
      <c r="B30" s="92">
        <f>'Summary YTD 07.31.18'!B58</f>
        <v>3936.95</v>
      </c>
      <c r="C30" s="92">
        <f>'Summary YTD 07.31.18'!C58</f>
        <v>0</v>
      </c>
      <c r="D30" s="92">
        <f>'Summary YTD 07.31.18'!D58</f>
        <v>2383.4499999999998</v>
      </c>
      <c r="E30" s="92">
        <f>'Summary YTD 07.31.18'!E58</f>
        <v>0</v>
      </c>
      <c r="F30" s="92">
        <f>'Summary YTD 07.31.18'!F58</f>
        <v>0</v>
      </c>
      <c r="G30" s="92">
        <f>'Summary YTD 07.31.18'!G58</f>
        <v>0</v>
      </c>
      <c r="H30" s="92">
        <f>'Summary YTD 07.31.18'!H58</f>
        <v>0</v>
      </c>
      <c r="I30" s="92">
        <f t="shared" si="2"/>
        <v>6320.4</v>
      </c>
      <c r="L30" s="90"/>
    </row>
    <row r="31" spans="1:12" s="88" customFormat="1" ht="30" customHeight="1" x14ac:dyDescent="0.3">
      <c r="A31" s="88" t="s">
        <v>246</v>
      </c>
      <c r="B31" s="92">
        <f>'Summary YTD 07.31.18'!B60</f>
        <v>881536.42</v>
      </c>
      <c r="C31" s="92">
        <f>'Summary YTD 07.31.18'!C60</f>
        <v>2652.16</v>
      </c>
      <c r="D31" s="92">
        <f>'Summary YTD 07.31.18'!D60</f>
        <v>73023.61</v>
      </c>
      <c r="E31" s="92">
        <f>'Summary YTD 07.31.18'!E60</f>
        <v>0</v>
      </c>
      <c r="F31" s="92">
        <f>'Summary YTD 07.31.18'!F60</f>
        <v>65675.03</v>
      </c>
      <c r="G31" s="92">
        <f>'Summary YTD 07.31.18'!G60</f>
        <v>64758.890000000014</v>
      </c>
      <c r="H31" s="92">
        <f>'Summary YTD 07.31.18'!H60</f>
        <v>102902.56</v>
      </c>
      <c r="I31" s="92">
        <f t="shared" si="2"/>
        <v>1190548.6700000002</v>
      </c>
      <c r="L31" s="90"/>
    </row>
    <row r="32" spans="1:12" s="88" customFormat="1" ht="30" customHeight="1" x14ac:dyDescent="0.3">
      <c r="A32" s="88" t="s">
        <v>245</v>
      </c>
      <c r="B32" s="92">
        <f>'Summary YTD 07.31.18'!B59</f>
        <v>2333.31</v>
      </c>
      <c r="C32" s="92">
        <f>'Summary YTD 07.31.18'!C59</f>
        <v>0</v>
      </c>
      <c r="D32" s="92">
        <f>'Summary YTD 07.31.18'!D59</f>
        <v>0</v>
      </c>
      <c r="E32" s="92">
        <f>'Summary YTD 07.31.18'!E59</f>
        <v>0</v>
      </c>
      <c r="F32" s="92">
        <f>'Summary YTD 07.31.18'!F59</f>
        <v>0</v>
      </c>
      <c r="G32" s="92">
        <f>'Summary YTD 07.31.18'!G59</f>
        <v>0</v>
      </c>
      <c r="H32" s="92">
        <f>'Summary YTD 07.31.18'!H59</f>
        <v>0</v>
      </c>
      <c r="I32" s="92">
        <f t="shared" si="2"/>
        <v>2333.31</v>
      </c>
      <c r="L32" s="90"/>
    </row>
    <row r="33" spans="1:12" s="88" customFormat="1" ht="30" customHeight="1" x14ac:dyDescent="0.3">
      <c r="A33" s="88" t="s">
        <v>256</v>
      </c>
      <c r="B33" s="92">
        <f>'Summary YTD 07.31.18'!B61</f>
        <v>1268.68</v>
      </c>
      <c r="C33" s="92">
        <f>'Summary YTD 07.31.18'!C61</f>
        <v>0</v>
      </c>
      <c r="D33" s="92">
        <f>'Summary YTD 07.31.18'!D61</f>
        <v>0</v>
      </c>
      <c r="E33" s="92">
        <f>'Summary YTD 07.31.18'!E61</f>
        <v>0</v>
      </c>
      <c r="F33" s="92">
        <f>'Summary YTD 07.31.18'!F61</f>
        <v>0</v>
      </c>
      <c r="G33" s="92">
        <f>'Summary YTD 07.31.18'!G61</f>
        <v>0</v>
      </c>
      <c r="H33" s="92">
        <f>'Summary YTD 07.31.18'!H61</f>
        <v>0</v>
      </c>
      <c r="I33" s="92">
        <f t="shared" si="2"/>
        <v>1268.68</v>
      </c>
      <c r="L33" s="90"/>
    </row>
    <row r="34" spans="1:12" s="88" customFormat="1" ht="30" customHeight="1" x14ac:dyDescent="0.3">
      <c r="A34" s="88" t="s">
        <v>250</v>
      </c>
      <c r="B34" s="92">
        <f>'Summary YTD 07.31.18'!B63</f>
        <v>98930.089999999982</v>
      </c>
      <c r="C34" s="92">
        <f>'Summary YTD 07.31.18'!C63</f>
        <v>0</v>
      </c>
      <c r="D34" s="92">
        <f>'Summary YTD 07.31.18'!D63</f>
        <v>50672.959999999999</v>
      </c>
      <c r="E34" s="92">
        <f>'Summary YTD 07.31.18'!E63</f>
        <v>0</v>
      </c>
      <c r="F34" s="92">
        <f>'Summary YTD 07.31.18'!F63</f>
        <v>0</v>
      </c>
      <c r="G34" s="92">
        <f>'Summary YTD 07.31.18'!G63</f>
        <v>0</v>
      </c>
      <c r="H34" s="92">
        <f>'Summary YTD 07.31.18'!H63</f>
        <v>0</v>
      </c>
      <c r="I34" s="92">
        <f t="shared" si="2"/>
        <v>149603.04999999999</v>
      </c>
      <c r="L34" s="90"/>
    </row>
    <row r="35" spans="1:12" s="88" customFormat="1" ht="30" customHeight="1" x14ac:dyDescent="0.3">
      <c r="A35" s="88" t="s">
        <v>417</v>
      </c>
      <c r="B35" s="92">
        <f>'Summary YTD 07.31.18'!B62+'Summary YTD 07.31.18'!B64+'Summary YTD 07.31.18'!B65</f>
        <v>34654.81</v>
      </c>
      <c r="C35" s="92">
        <f>'Summary YTD 07.31.18'!C62+'Summary YTD 07.31.18'!C64+'Summary YTD 07.31.18'!C65</f>
        <v>4082.29</v>
      </c>
      <c r="D35" s="92">
        <f>'Summary YTD 07.31.18'!D62+'Summary YTD 07.31.18'!D64+'Summary YTD 07.31.18'!D65</f>
        <v>23492.889999999996</v>
      </c>
      <c r="E35" s="92">
        <f>'Summary YTD 07.31.18'!E62+'Summary YTD 07.31.18'!E64+'Summary YTD 07.31.18'!E65</f>
        <v>0</v>
      </c>
      <c r="F35" s="92">
        <f>'Summary YTD 07.31.18'!F62+'Summary YTD 07.31.18'!F64+'Summary YTD 07.31.18'!F65</f>
        <v>6748.79</v>
      </c>
      <c r="G35" s="92">
        <f>'Summary YTD 07.31.18'!G62+'Summary YTD 07.31.18'!G64+'Summary YTD 07.31.18'!G65</f>
        <v>0</v>
      </c>
      <c r="H35" s="92">
        <f>'Summary YTD 07.31.18'!H62+'Summary YTD 07.31.18'!H64+'Summary YTD 07.31.18'!H65</f>
        <v>0</v>
      </c>
      <c r="I35" s="92">
        <f t="shared" si="2"/>
        <v>68978.779999999984</v>
      </c>
      <c r="L35" s="90"/>
    </row>
    <row r="36" spans="1:12" s="88" customFormat="1" ht="30" customHeight="1" x14ac:dyDescent="0.3">
      <c r="A36" s="91" t="s">
        <v>251</v>
      </c>
      <c r="B36" s="93">
        <f t="shared" ref="B36:H36" si="3">SUM(B22:B35)</f>
        <v>1510355.2200000002</v>
      </c>
      <c r="C36" s="93">
        <f t="shared" si="3"/>
        <v>9713.130000000001</v>
      </c>
      <c r="D36" s="93">
        <f t="shared" si="3"/>
        <v>656607.18999999994</v>
      </c>
      <c r="E36" s="93">
        <f t="shared" si="3"/>
        <v>0</v>
      </c>
      <c r="F36" s="93">
        <f t="shared" si="3"/>
        <v>192590.6</v>
      </c>
      <c r="G36" s="93">
        <f t="shared" si="3"/>
        <v>65278.890000000014</v>
      </c>
      <c r="H36" s="93">
        <f t="shared" si="3"/>
        <v>103422.56</v>
      </c>
      <c r="I36" s="93">
        <f>SUM(B36:H36)</f>
        <v>2537967.5900000003</v>
      </c>
      <c r="L36" s="90"/>
    </row>
    <row r="37" spans="1:12" s="88" customFormat="1" ht="30" customHeight="1" x14ac:dyDescent="0.3">
      <c r="B37" s="92"/>
      <c r="C37" s="92"/>
      <c r="D37" s="92"/>
      <c r="E37" s="92"/>
      <c r="F37" s="92"/>
      <c r="G37" s="92"/>
      <c r="H37" s="92"/>
      <c r="I37" s="92">
        <f>SUM(B37:F37)</f>
        <v>0</v>
      </c>
      <c r="L37" s="90"/>
    </row>
    <row r="38" spans="1:12" s="88" customFormat="1" ht="30" customHeight="1" x14ac:dyDescent="0.3">
      <c r="A38" s="91" t="s">
        <v>252</v>
      </c>
      <c r="B38" s="92"/>
      <c r="C38" s="92"/>
      <c r="D38" s="92"/>
      <c r="E38" s="92"/>
      <c r="F38" s="92"/>
      <c r="G38" s="92"/>
      <c r="H38" s="92"/>
      <c r="I38" s="92">
        <f>SUM(B38:F38)</f>
        <v>0</v>
      </c>
      <c r="L38" s="90"/>
    </row>
    <row r="39" spans="1:12" s="88" customFormat="1" ht="30" customHeight="1" x14ac:dyDescent="0.3">
      <c r="A39" s="88" t="s">
        <v>253</v>
      </c>
      <c r="B39" s="92">
        <f>'Summary YTD 07.31.18'!B69</f>
        <v>6310.07</v>
      </c>
      <c r="C39" s="92">
        <f>'Summary YTD 07.31.18'!C69</f>
        <v>0</v>
      </c>
      <c r="D39" s="92">
        <f>'Summary YTD 07.31.18'!D69</f>
        <v>1125.44</v>
      </c>
      <c r="E39" s="92">
        <f>'Summary YTD 07.31.18'!E69</f>
        <v>0</v>
      </c>
      <c r="F39" s="92">
        <f>'Summary YTD 07.31.18'!F69</f>
        <v>2430.92</v>
      </c>
      <c r="G39" s="92">
        <f>'Summary YTD 07.31.18'!G69</f>
        <v>0</v>
      </c>
      <c r="H39" s="92">
        <f>'Summary YTD 07.31.18'!H69</f>
        <v>0</v>
      </c>
      <c r="I39" s="92">
        <f>SUM(B39:H39)</f>
        <v>9866.43</v>
      </c>
      <c r="L39" s="90"/>
    </row>
    <row r="40" spans="1:12" s="88" customFormat="1" ht="30" customHeight="1" x14ac:dyDescent="0.3">
      <c r="A40" s="88" t="s">
        <v>254</v>
      </c>
      <c r="B40" s="92">
        <f>'Summary YTD 07.31.18'!B70</f>
        <v>68445.42</v>
      </c>
      <c r="C40" s="92">
        <f>'Summary YTD 07.31.18'!C70</f>
        <v>5831.1</v>
      </c>
      <c r="D40" s="92">
        <f>'Summary YTD 07.31.18'!D70</f>
        <v>5083.54</v>
      </c>
      <c r="E40" s="92">
        <f>'Summary YTD 07.31.18'!E70</f>
        <v>1462.0700000000002</v>
      </c>
      <c r="F40" s="92">
        <f>'Summary YTD 07.31.18'!F70</f>
        <v>1869.6899999999996</v>
      </c>
      <c r="G40" s="92">
        <f>'Summary YTD 07.31.18'!G70</f>
        <v>0</v>
      </c>
      <c r="H40" s="92">
        <f>'Summary YTD 07.31.18'!H70</f>
        <v>561.19000000000005</v>
      </c>
      <c r="I40" s="92">
        <f t="shared" ref="I40:I50" si="4">SUM(B40:H40)</f>
        <v>83253.010000000009</v>
      </c>
      <c r="L40" s="90"/>
    </row>
    <row r="41" spans="1:12" s="88" customFormat="1" ht="30" customHeight="1" x14ac:dyDescent="0.3">
      <c r="A41" s="88" t="s">
        <v>366</v>
      </c>
      <c r="B41" s="92">
        <f>'Summary YTD 07.31.18'!B71</f>
        <v>0</v>
      </c>
      <c r="C41" s="92">
        <f>'Summary YTD 07.31.18'!C71</f>
        <v>0</v>
      </c>
      <c r="D41" s="92">
        <f>'Summary YTD 07.31.18'!D71</f>
        <v>0</v>
      </c>
      <c r="E41" s="92">
        <f>'Summary YTD 07.31.18'!E71</f>
        <v>0</v>
      </c>
      <c r="F41" s="92">
        <f>'Summary YTD 07.31.18'!F71</f>
        <v>2903.1800000000003</v>
      </c>
      <c r="G41" s="92">
        <f>'Summary YTD 07.31.18'!G71</f>
        <v>0</v>
      </c>
      <c r="H41" s="92">
        <f>'Summary YTD 07.31.18'!H71</f>
        <v>0</v>
      </c>
      <c r="I41" s="92">
        <f t="shared" si="4"/>
        <v>2903.1800000000003</v>
      </c>
      <c r="L41" s="90"/>
    </row>
    <row r="42" spans="1:12" s="88" customFormat="1" ht="30" customHeight="1" x14ac:dyDescent="0.3">
      <c r="A42" s="88" t="s">
        <v>255</v>
      </c>
      <c r="B42" s="92">
        <f>'Summary YTD 07.31.18'!B72</f>
        <v>3755.83</v>
      </c>
      <c r="C42" s="92">
        <f>'Summary YTD 07.31.18'!C72</f>
        <v>0</v>
      </c>
      <c r="D42" s="92">
        <f>'Summary YTD 07.31.18'!D72</f>
        <v>0</v>
      </c>
      <c r="E42" s="92">
        <f>'Summary YTD 07.31.18'!E72</f>
        <v>109</v>
      </c>
      <c r="F42" s="92">
        <f>'Summary YTD 07.31.18'!F72</f>
        <v>975.56000000000006</v>
      </c>
      <c r="G42" s="92">
        <f>'Summary YTD 07.31.18'!G72</f>
        <v>0</v>
      </c>
      <c r="H42" s="92">
        <f>'Summary YTD 07.31.18'!H72</f>
        <v>0</v>
      </c>
      <c r="I42" s="92">
        <f t="shared" si="4"/>
        <v>4840.3900000000003</v>
      </c>
      <c r="L42" s="90"/>
    </row>
    <row r="43" spans="1:12" s="88" customFormat="1" ht="30" customHeight="1" x14ac:dyDescent="0.3">
      <c r="A43" s="88" t="s">
        <v>463</v>
      </c>
      <c r="B43" s="92">
        <f>'Summary YTD 07.31.18'!B73+'Summary YTD 07.31.18'!B74+'Summary YTD 07.31.18'!B75+'Summary YTD 07.31.18'!B76+'Summary YTD 07.31.18'!B77</f>
        <v>320271.64</v>
      </c>
      <c r="C43" s="92">
        <f>'Summary YTD 07.31.18'!C73+'Summary YTD 07.31.18'!C74+'Summary YTD 07.31.18'!C75+'Summary YTD 07.31.18'!C76+'Summary YTD 07.31.18'!C77</f>
        <v>45250</v>
      </c>
      <c r="D43" s="92">
        <f>'Summary YTD 07.31.18'!D73+'Summary YTD 07.31.18'!D74+'Summary YTD 07.31.18'!D75+'Summary YTD 07.31.18'!D76+'Summary YTD 07.31.18'!D77</f>
        <v>48265.120000000003</v>
      </c>
      <c r="E43" s="92">
        <f>'Summary YTD 07.31.18'!E73+'Summary YTD 07.31.18'!E74+'Summary YTD 07.31.18'!E75+'Summary YTD 07.31.18'!E76+'Summary YTD 07.31.18'!E77</f>
        <v>4404.17</v>
      </c>
      <c r="F43" s="92">
        <f>'Summary YTD 07.31.18'!F73+'Summary YTD 07.31.18'!F74+'Summary YTD 07.31.18'!F75+'Summary YTD 07.31.18'!F76+'Summary YTD 07.31.18'!F77</f>
        <v>14000</v>
      </c>
      <c r="G43" s="92">
        <f>'Summary YTD 07.31.18'!G73+'Summary YTD 07.31.18'!G74+'Summary YTD 07.31.18'!G75+'Summary YTD 07.31.18'!G76+'Summary YTD 07.31.18'!G77</f>
        <v>2120</v>
      </c>
      <c r="H43" s="92">
        <f>'Summary YTD 07.31.18'!H73+'Summary YTD 07.31.18'!H74+'Summary YTD 07.31.18'!H75+'Summary YTD 07.31.18'!H76+'Summary YTD 07.31.18'!H77</f>
        <v>0</v>
      </c>
      <c r="I43" s="92">
        <f t="shared" si="4"/>
        <v>434310.93</v>
      </c>
      <c r="L43" s="90"/>
    </row>
    <row r="44" spans="1:12" s="88" customFormat="1" ht="30" customHeight="1" x14ac:dyDescent="0.3">
      <c r="A44" s="88" t="s">
        <v>257</v>
      </c>
      <c r="B44" s="92">
        <f>'Summary YTD 07.31.18'!B78</f>
        <v>31499.520000000004</v>
      </c>
      <c r="C44" s="92">
        <f>'Summary YTD 07.31.18'!C78</f>
        <v>0</v>
      </c>
      <c r="D44" s="92">
        <f>'Summary YTD 07.31.18'!D78</f>
        <v>5250</v>
      </c>
      <c r="E44" s="92">
        <f>'Summary YTD 07.31.18'!E78</f>
        <v>0</v>
      </c>
      <c r="F44" s="92">
        <f>'Summary YTD 07.31.18'!F78</f>
        <v>1062.4799999999998</v>
      </c>
      <c r="G44" s="92">
        <f>'Summary YTD 07.31.18'!G78</f>
        <v>0</v>
      </c>
      <c r="H44" s="92">
        <f>'Summary YTD 07.31.18'!H78</f>
        <v>0</v>
      </c>
      <c r="I44" s="92">
        <f t="shared" si="4"/>
        <v>37812.000000000007</v>
      </c>
      <c r="L44" s="90"/>
    </row>
    <row r="45" spans="1:12" s="88" customFormat="1" ht="30" customHeight="1" x14ac:dyDescent="0.3">
      <c r="A45" s="88" t="s">
        <v>258</v>
      </c>
      <c r="B45" s="92">
        <f>'Summary YTD 07.31.18'!B79</f>
        <v>23553.399999999998</v>
      </c>
      <c r="C45" s="92">
        <f>'Summary YTD 07.31.18'!C79</f>
        <v>687.49</v>
      </c>
      <c r="D45" s="92">
        <f>'Summary YTD 07.31.18'!D79</f>
        <v>1227.5</v>
      </c>
      <c r="E45" s="92">
        <f>'Summary YTD 07.31.18'!E79</f>
        <v>0</v>
      </c>
      <c r="F45" s="92">
        <f>'Summary YTD 07.31.18'!F79</f>
        <v>642</v>
      </c>
      <c r="G45" s="92">
        <f>'Summary YTD 07.31.18'!G79</f>
        <v>0</v>
      </c>
      <c r="H45" s="92">
        <f>'Summary YTD 07.31.18'!H79</f>
        <v>0</v>
      </c>
      <c r="I45" s="92">
        <f t="shared" si="4"/>
        <v>26110.39</v>
      </c>
      <c r="L45" s="90"/>
    </row>
    <row r="46" spans="1:12" s="88" customFormat="1" ht="30" customHeight="1" x14ac:dyDescent="0.3">
      <c r="A46" s="88" t="s">
        <v>259</v>
      </c>
      <c r="B46" s="92">
        <f>'Summary YTD 07.31.18'!B80</f>
        <v>19205.57</v>
      </c>
      <c r="C46" s="92">
        <f>'Summary YTD 07.31.18'!C80</f>
        <v>0</v>
      </c>
      <c r="D46" s="92">
        <f>'Summary YTD 07.31.18'!D80</f>
        <v>0</v>
      </c>
      <c r="E46" s="92">
        <f>'Summary YTD 07.31.18'!E80</f>
        <v>0</v>
      </c>
      <c r="F46" s="92">
        <f>'Summary YTD 07.31.18'!F80</f>
        <v>0</v>
      </c>
      <c r="G46" s="92">
        <f>'Summary YTD 07.31.18'!G80</f>
        <v>0</v>
      </c>
      <c r="H46" s="92">
        <f>'Summary YTD 07.31.18'!H80</f>
        <v>0</v>
      </c>
      <c r="I46" s="92">
        <f t="shared" si="4"/>
        <v>19205.57</v>
      </c>
      <c r="L46" s="90"/>
    </row>
    <row r="47" spans="1:12" s="88" customFormat="1" ht="30" customHeight="1" x14ac:dyDescent="0.3">
      <c r="A47" s="88" t="s">
        <v>296</v>
      </c>
      <c r="B47" s="92">
        <f>'Summary YTD 07.31.18'!B81</f>
        <v>0</v>
      </c>
      <c r="C47" s="92">
        <f>'Summary YTD 07.31.18'!C81</f>
        <v>0</v>
      </c>
      <c r="D47" s="92">
        <f>'Summary YTD 07.31.18'!D81</f>
        <v>300</v>
      </c>
      <c r="E47" s="92">
        <f>'Summary YTD 07.31.18'!E81</f>
        <v>0</v>
      </c>
      <c r="F47" s="92">
        <f>'Summary YTD 07.31.18'!F81</f>
        <v>2600</v>
      </c>
      <c r="G47" s="92">
        <f>'Summary YTD 07.31.18'!G81</f>
        <v>0</v>
      </c>
      <c r="H47" s="92">
        <f>'Summary YTD 07.31.18'!H81</f>
        <v>0</v>
      </c>
      <c r="I47" s="92">
        <f t="shared" si="4"/>
        <v>2900</v>
      </c>
      <c r="L47" s="90"/>
    </row>
    <row r="48" spans="1:12" s="88" customFormat="1" ht="30" customHeight="1" x14ac:dyDescent="0.3">
      <c r="A48" s="88" t="s">
        <v>381</v>
      </c>
      <c r="B48" s="92">
        <f>'Summary YTD 07.31.18'!B82</f>
        <v>234.03</v>
      </c>
      <c r="C48" s="92">
        <v>0</v>
      </c>
      <c r="D48" s="92">
        <v>0</v>
      </c>
      <c r="E48" s="92">
        <v>0</v>
      </c>
      <c r="F48" s="92">
        <f>'BSC (Dome)'!I64</f>
        <v>10329.9</v>
      </c>
      <c r="G48" s="92">
        <v>0</v>
      </c>
      <c r="H48" s="92">
        <f>'BSC (Dome)'!J64</f>
        <v>0</v>
      </c>
      <c r="I48" s="92">
        <f t="shared" si="4"/>
        <v>10563.93</v>
      </c>
      <c r="L48" s="90"/>
    </row>
    <row r="49" spans="1:12" s="88" customFormat="1" ht="30" customHeight="1" x14ac:dyDescent="0.3">
      <c r="A49" s="88" t="s">
        <v>418</v>
      </c>
      <c r="B49" s="92">
        <f>'Summary YTD 07.31.18'!B83+'Summary YTD 07.31.18'!B84</f>
        <v>31943.239999999998</v>
      </c>
      <c r="C49" s="92">
        <f>'Summary YTD 07.31.18'!C83+'Summary YTD 07.31.18'!C84</f>
        <v>0</v>
      </c>
      <c r="D49" s="92">
        <f>'Summary YTD 07.31.18'!D83+'Summary YTD 07.31.18'!D84</f>
        <v>0</v>
      </c>
      <c r="E49" s="92">
        <f>'Summary YTD 07.31.18'!E83+'Summary YTD 07.31.18'!E84</f>
        <v>0</v>
      </c>
      <c r="F49" s="92">
        <f>'Summary YTD 07.31.18'!F83+'Summary YTD 07.31.18'!F84</f>
        <v>0</v>
      </c>
      <c r="G49" s="92">
        <f>'Summary YTD 07.31.18'!G83+'Summary YTD 07.31.18'!G84</f>
        <v>0</v>
      </c>
      <c r="H49" s="92">
        <f>'Summary YTD 07.31.18'!H83+'Summary YTD 07.31.18'!H84</f>
        <v>0</v>
      </c>
      <c r="I49" s="92">
        <f t="shared" si="4"/>
        <v>31943.239999999998</v>
      </c>
      <c r="L49" s="90"/>
    </row>
    <row r="50" spans="1:12" s="88" customFormat="1" ht="30" customHeight="1" x14ac:dyDescent="0.3">
      <c r="A50" s="88" t="s">
        <v>465</v>
      </c>
      <c r="B50" s="92">
        <f>'Summary YTD 07.31.18'!B85+'Summary YTD 07.31.18'!B86</f>
        <v>17528.25</v>
      </c>
      <c r="C50" s="92">
        <f>'Summary YTD 07.31.18'!C85+'Summary YTD 07.31.18'!C86</f>
        <v>0</v>
      </c>
      <c r="D50" s="92">
        <f>'Summary YTD 07.31.18'!D85+'Summary YTD 07.31.18'!D86</f>
        <v>0</v>
      </c>
      <c r="E50" s="92">
        <f>'Summary YTD 07.31.18'!E85+'Summary YTD 07.31.18'!E86</f>
        <v>0</v>
      </c>
      <c r="F50" s="92">
        <f>'Summary YTD 07.31.18'!F85+'Summary YTD 07.31.18'!F86</f>
        <v>0</v>
      </c>
      <c r="G50" s="92">
        <f>'Summary YTD 07.31.18'!G85+'Summary YTD 07.31.18'!G86</f>
        <v>0</v>
      </c>
      <c r="H50" s="92">
        <f>'Summary YTD 07.31.18'!H85+'Summary YTD 07.31.18'!H86</f>
        <v>0</v>
      </c>
      <c r="I50" s="92">
        <f t="shared" si="4"/>
        <v>17528.25</v>
      </c>
      <c r="L50" s="90"/>
    </row>
    <row r="51" spans="1:12" s="88" customFormat="1" ht="30" customHeight="1" x14ac:dyDescent="0.3">
      <c r="A51" s="91" t="s">
        <v>265</v>
      </c>
      <c r="B51" s="93">
        <f t="shared" ref="B51:H51" si="5">SUM(B39:B50)</f>
        <v>522746.97000000009</v>
      </c>
      <c r="C51" s="93">
        <f t="shared" si="5"/>
        <v>51768.59</v>
      </c>
      <c r="D51" s="93">
        <f t="shared" si="5"/>
        <v>61251.600000000006</v>
      </c>
      <c r="E51" s="93">
        <f t="shared" si="5"/>
        <v>5975.24</v>
      </c>
      <c r="F51" s="93">
        <f t="shared" si="5"/>
        <v>36813.729999999996</v>
      </c>
      <c r="G51" s="93">
        <f t="shared" si="5"/>
        <v>2120</v>
      </c>
      <c r="H51" s="93">
        <f t="shared" si="5"/>
        <v>561.19000000000005</v>
      </c>
      <c r="I51" s="93">
        <f>SUM(B51:H51)</f>
        <v>681237.32</v>
      </c>
      <c r="L51" s="90"/>
    </row>
    <row r="52" spans="1:12" s="88" customFormat="1" ht="30" customHeight="1" x14ac:dyDescent="0.3">
      <c r="B52" s="92"/>
      <c r="C52" s="92"/>
      <c r="D52" s="92"/>
      <c r="E52" s="92"/>
      <c r="F52" s="92"/>
      <c r="G52" s="92"/>
      <c r="H52" s="9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266</v>
      </c>
      <c r="B53" s="94">
        <f t="shared" ref="B53:H53" si="6">B19+B36+B51</f>
        <v>4746986.28</v>
      </c>
      <c r="C53" s="94">
        <f t="shared" si="6"/>
        <v>61481.72</v>
      </c>
      <c r="D53" s="94">
        <f t="shared" si="6"/>
        <v>811785.37999999989</v>
      </c>
      <c r="E53" s="94">
        <f t="shared" si="6"/>
        <v>5975.24</v>
      </c>
      <c r="F53" s="94">
        <f t="shared" si="6"/>
        <v>479679.80999999994</v>
      </c>
      <c r="G53" s="94">
        <f>G19+G36+G51</f>
        <v>67398.890000000014</v>
      </c>
      <c r="H53" s="94">
        <f t="shared" si="6"/>
        <v>103983.75</v>
      </c>
      <c r="I53" s="94">
        <f>SUM(B53:H53)</f>
        <v>6277291.0699999994</v>
      </c>
      <c r="L53" s="90"/>
    </row>
    <row r="54" spans="1:12" s="88" customFormat="1" ht="30" customHeight="1" x14ac:dyDescent="0.3">
      <c r="B54" s="92"/>
      <c r="C54" s="92"/>
      <c r="D54" s="92"/>
      <c r="E54" s="92"/>
      <c r="F54" s="92"/>
      <c r="G54" s="92"/>
      <c r="H54" s="92"/>
      <c r="I54" s="92"/>
      <c r="L54" s="90"/>
    </row>
    <row r="55" spans="1:12" s="88" customFormat="1" ht="30" customHeight="1" x14ac:dyDescent="0.3">
      <c r="A55" s="91" t="s">
        <v>466</v>
      </c>
      <c r="B55" s="92"/>
      <c r="C55" s="92"/>
      <c r="D55" s="92"/>
      <c r="E55" s="92"/>
      <c r="F55" s="92"/>
      <c r="G55" s="92"/>
      <c r="H55" s="92"/>
      <c r="I55" s="92"/>
      <c r="L55" s="90"/>
    </row>
    <row r="56" spans="1:12" s="88" customFormat="1" ht="30" customHeight="1" x14ac:dyDescent="0.3">
      <c r="A56" s="88" t="s">
        <v>269</v>
      </c>
      <c r="B56" s="92">
        <f>'Summary YTD 07.31.18'!B92</f>
        <v>87500</v>
      </c>
      <c r="C56" s="92">
        <v>0</v>
      </c>
      <c r="D56" s="92">
        <f>DEP!I71</f>
        <v>87500</v>
      </c>
      <c r="E56" s="92">
        <v>0</v>
      </c>
      <c r="F56" s="92">
        <f>'BSC (Dome)'!I75+'BSC (Dome)'!I76</f>
        <v>39000</v>
      </c>
      <c r="G56" s="92">
        <f>'Summary YTD 07.31.18'!G92</f>
        <v>123900</v>
      </c>
      <c r="H56" s="92">
        <f>'722 Bedford St'!I22</f>
        <v>25000</v>
      </c>
      <c r="I56" s="92">
        <f t="shared" ref="I56:I61" si="7">SUM(B56:H56)</f>
        <v>362900</v>
      </c>
      <c r="L56" s="90"/>
    </row>
    <row r="57" spans="1:12" s="88" customFormat="1" ht="30" customHeight="1" x14ac:dyDescent="0.3">
      <c r="A57" s="88" t="s">
        <v>274</v>
      </c>
      <c r="B57" s="92">
        <f>'Summary YTD 07.31.18'!B93+'Summary YTD 07.31.18'!B95+'Summary YTD 07.31.18'!B96+'Summary YTD 07.31.18'!B99+'Summary YTD 07.31.18'!B100+'Summary YTD 07.31.18'!B103+'Summary YTD 07.31.18'!B101+'Summary YTD 07.31.18'!B102</f>
        <v>438103.89999999997</v>
      </c>
      <c r="C57" s="92">
        <v>0</v>
      </c>
      <c r="D57" s="92">
        <f>'Summary YTD 07.31.18'!D93+'Summary YTD 07.31.18'!D95+'Summary YTD 07.31.18'!D96+'Summary YTD 07.31.18'!D99+'Summary YTD 07.31.18'!D100+'Summary YTD 07.31.18'!D103</f>
        <v>0</v>
      </c>
      <c r="E57" s="92">
        <f>'Summary YTD 07.31.18'!E93+'Summary YTD 07.31.18'!E95+'Summary YTD 07.31.18'!E96+'Summary YTD 07.31.18'!E99+'Summary YTD 07.31.18'!E100+'Summary YTD 07.31.18'!E103</f>
        <v>0</v>
      </c>
      <c r="F57" s="92">
        <f>'Summary YTD 07.31.18'!F93+'Summary YTD 07.31.18'!F95+'Summary YTD 07.31.18'!F96+'Summary YTD 07.31.18'!F99+'Summary YTD 07.31.18'!F100+'Summary YTD 07.31.18'!F103</f>
        <v>1833.08</v>
      </c>
      <c r="G57" s="92">
        <f>'Summary YTD 07.31.18'!G99</f>
        <v>1.01</v>
      </c>
      <c r="H57" s="92">
        <v>0</v>
      </c>
      <c r="I57" s="92">
        <f t="shared" si="7"/>
        <v>439937.99</v>
      </c>
      <c r="L57" s="90"/>
    </row>
    <row r="58" spans="1:12" s="88" customFormat="1" ht="30" customHeight="1" x14ac:dyDescent="0.3">
      <c r="A58" s="88" t="s">
        <v>272</v>
      </c>
      <c r="B58" s="92">
        <f>'Summary YTD 07.31.18'!B97</f>
        <v>149724.86000000002</v>
      </c>
      <c r="C58" s="92">
        <f>'Summary YTD 07.31.18'!C97</f>
        <v>7286.3899999999994</v>
      </c>
      <c r="D58" s="92">
        <f>'Summary YTD 07.31.18'!D97</f>
        <v>18213.28</v>
      </c>
      <c r="E58" s="92">
        <f>'Summary YTD 07.31.18'!E97</f>
        <v>27435.18</v>
      </c>
      <c r="F58" s="92">
        <f>'Summary YTD 07.31.18'!F97</f>
        <v>0</v>
      </c>
      <c r="G58" s="92">
        <f>'Summary YTD 07.31.18'!G97</f>
        <v>25464.33</v>
      </c>
      <c r="H58" s="92">
        <v>0</v>
      </c>
      <c r="I58" s="92">
        <f t="shared" si="7"/>
        <v>228124.03999999998</v>
      </c>
      <c r="L58" s="90"/>
    </row>
    <row r="59" spans="1:12" s="88" customFormat="1" ht="30" customHeight="1" x14ac:dyDescent="0.3">
      <c r="A59" s="88" t="s">
        <v>273</v>
      </c>
      <c r="B59" s="92">
        <f>'Summary YTD 07.31.18'!B98</f>
        <v>-107009.54</v>
      </c>
      <c r="C59" s="92">
        <f>'Summary YTD 07.31.18'!C98</f>
        <v>0</v>
      </c>
      <c r="D59" s="92">
        <f>'Summary YTD 07.31.18'!D98</f>
        <v>0</v>
      </c>
      <c r="E59" s="92">
        <f>'Summary YTD 07.31.18'!E98</f>
        <v>-3915.6899999999996</v>
      </c>
      <c r="F59" s="92">
        <f>'Summary YTD 07.31.18'!F98</f>
        <v>-67875.3</v>
      </c>
      <c r="G59" s="92">
        <f>'Summary YTD 07.31.18'!G98</f>
        <v>-6026.51</v>
      </c>
      <c r="H59" s="92">
        <v>0</v>
      </c>
      <c r="I59" s="92">
        <f t="shared" si="7"/>
        <v>-184827.04</v>
      </c>
      <c r="L59" s="90"/>
    </row>
    <row r="60" spans="1:12" s="88" customFormat="1" ht="30" customHeight="1" x14ac:dyDescent="0.3">
      <c r="A60" s="88" t="s">
        <v>419</v>
      </c>
      <c r="B60" s="92">
        <f>'Summary YTD 07.31.18'!B94+'Summary YTD 07.31.18'!B104</f>
        <v>3098.28</v>
      </c>
      <c r="C60" s="92">
        <f>'Summary YTD 07.31.18'!C94+'Summary YTD 07.31.18'!C95</f>
        <v>-285337.46999999997</v>
      </c>
      <c r="D60" s="92">
        <f>'Summary YTD 07.31.18'!D94</f>
        <v>0</v>
      </c>
      <c r="E60" s="92">
        <f>'Summary YTD 07.31.18'!E94</f>
        <v>0</v>
      </c>
      <c r="F60" s="92">
        <f>'Summary YTD 07.31.18'!F94</f>
        <v>0</v>
      </c>
      <c r="G60" s="92">
        <f>'Summary YTD 07.31.18'!G94</f>
        <v>0</v>
      </c>
      <c r="H60" s="92">
        <v>0</v>
      </c>
      <c r="I60" s="92">
        <f>SUM(B60:H60)</f>
        <v>-282239.18999999994</v>
      </c>
      <c r="L60" s="90"/>
    </row>
    <row r="61" spans="1:12" s="88" customFormat="1" ht="30" customHeight="1" x14ac:dyDescent="0.3">
      <c r="A61" s="91" t="s">
        <v>467</v>
      </c>
      <c r="B61" s="93">
        <f t="shared" ref="B61:H61" si="8">SUM(B56:B60)</f>
        <v>571417.49999999988</v>
      </c>
      <c r="C61" s="93">
        <f t="shared" si="8"/>
        <v>-278051.07999999996</v>
      </c>
      <c r="D61" s="93">
        <f t="shared" si="8"/>
        <v>105713.28</v>
      </c>
      <c r="E61" s="93">
        <f t="shared" si="8"/>
        <v>23519.49</v>
      </c>
      <c r="F61" s="93">
        <f t="shared" si="8"/>
        <v>-27042.22</v>
      </c>
      <c r="G61" s="93">
        <f t="shared" si="8"/>
        <v>143338.82999999999</v>
      </c>
      <c r="H61" s="93">
        <f t="shared" si="8"/>
        <v>25000</v>
      </c>
      <c r="I61" s="93">
        <f t="shared" si="7"/>
        <v>563895.79999999993</v>
      </c>
      <c r="L61" s="90"/>
    </row>
    <row r="62" spans="1:12" s="88" customFormat="1" ht="30" customHeight="1" x14ac:dyDescent="0.3">
      <c r="A62" s="91"/>
      <c r="B62" s="92"/>
      <c r="C62" s="92"/>
      <c r="D62" s="92"/>
      <c r="E62" s="92"/>
      <c r="F62" s="92"/>
      <c r="G62" s="92"/>
      <c r="H62" s="9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268</v>
      </c>
      <c r="B63" s="95">
        <f t="shared" ref="B63:H63" si="9">B11-B53+B61</f>
        <v>-347143.63999965705</v>
      </c>
      <c r="C63" s="95">
        <f t="shared" si="9"/>
        <v>402281.9700000108</v>
      </c>
      <c r="D63" s="95">
        <f t="shared" si="9"/>
        <v>503419.30000000028</v>
      </c>
      <c r="E63" s="95">
        <f t="shared" si="9"/>
        <v>17544.25</v>
      </c>
      <c r="F63" s="95">
        <f t="shared" si="9"/>
        <v>18349.990000000078</v>
      </c>
      <c r="G63" s="95">
        <f>G11-G53+G61</f>
        <v>75939.939999999973</v>
      </c>
      <c r="H63" s="95">
        <f t="shared" si="9"/>
        <v>-78983.75</v>
      </c>
      <c r="I63" s="95">
        <f>SUM(B63:H63)</f>
        <v>591408.06000035407</v>
      </c>
      <c r="L63" s="90"/>
    </row>
    <row r="64" spans="1:12" ht="15.75" thickTop="1" x14ac:dyDescent="0.25">
      <c r="B64" s="59"/>
      <c r="C64" s="59"/>
      <c r="D64" s="59"/>
      <c r="E64" s="59"/>
      <c r="F64" s="59"/>
      <c r="G64" s="59"/>
      <c r="H64" s="59"/>
      <c r="I64" s="59"/>
    </row>
    <row r="66" spans="1:12" x14ac:dyDescent="0.25">
      <c r="A66" t="s">
        <v>333</v>
      </c>
      <c r="B66" s="57">
        <v>-347143.64000031271</v>
      </c>
      <c r="C66" s="110">
        <v>402281.97000000335</v>
      </c>
      <c r="D66" s="110">
        <v>503419.3</v>
      </c>
      <c r="E66" s="110">
        <v>17544.25</v>
      </c>
      <c r="F66" s="110">
        <v>18349.990000000078</v>
      </c>
      <c r="G66" s="110">
        <v>75939.939999999973</v>
      </c>
      <c r="H66" s="110">
        <f>'Summary YTD 07.31.18'!H110</f>
        <v>-78983.75</v>
      </c>
      <c r="I66" s="59">
        <f>SUM(B66:H66)</f>
        <v>591408.05999969074</v>
      </c>
    </row>
    <row r="67" spans="1:12" x14ac:dyDescent="0.25">
      <c r="B67" s="57">
        <f t="shared" ref="B67:I67" si="10">B63-B66</f>
        <v>6.5565109252929688E-7</v>
      </c>
      <c r="C67" s="110">
        <f t="shared" si="10"/>
        <v>7.4505805969238281E-9</v>
      </c>
      <c r="D67" s="110">
        <f t="shared" si="10"/>
        <v>0</v>
      </c>
      <c r="E67" s="110">
        <f t="shared" si="10"/>
        <v>0</v>
      </c>
      <c r="F67" s="110">
        <f t="shared" si="10"/>
        <v>0</v>
      </c>
      <c r="G67" s="110">
        <f t="shared" si="10"/>
        <v>0</v>
      </c>
      <c r="H67" s="110">
        <f t="shared" si="10"/>
        <v>0</v>
      </c>
      <c r="I67" s="57">
        <f t="shared" si="10"/>
        <v>6.6333450376987457E-7</v>
      </c>
    </row>
    <row r="68" spans="1:12" x14ac:dyDescent="0.25">
      <c r="B68" s="57"/>
      <c r="C68" s="57"/>
      <c r="D68" s="57"/>
      <c r="E68" s="57"/>
      <c r="I68" s="59"/>
    </row>
    <row r="69" spans="1:12" x14ac:dyDescent="0.25">
      <c r="B69" s="57"/>
      <c r="C69" s="57"/>
      <c r="D69" s="57"/>
      <c r="E69" s="57"/>
    </row>
    <row r="70" spans="1:12" x14ac:dyDescent="0.25">
      <c r="B70" s="57"/>
      <c r="C70" s="57"/>
      <c r="D70" s="57"/>
      <c r="E70" s="57"/>
    </row>
    <row r="71" spans="1:12" x14ac:dyDescent="0.25">
      <c r="B71" s="57"/>
      <c r="C71" s="57"/>
      <c r="D71" s="57"/>
      <c r="E71" s="57"/>
    </row>
    <row r="72" spans="1:12" s="55" customFormat="1" x14ac:dyDescent="0.25">
      <c r="A72"/>
      <c r="B72" s="57"/>
      <c r="C72" s="57"/>
      <c r="D72" s="57"/>
      <c r="E72" s="57"/>
      <c r="J72"/>
      <c r="K72"/>
      <c r="L72" s="48"/>
    </row>
    <row r="73" spans="1:12" s="55" customFormat="1" x14ac:dyDescent="0.25">
      <c r="A73"/>
      <c r="B73" s="57"/>
      <c r="C73" s="57"/>
      <c r="D73" s="57"/>
      <c r="E73" s="57"/>
      <c r="J73"/>
      <c r="K73"/>
      <c r="L73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J30"/>
  <sheetViews>
    <sheetView zoomScaleNormal="100" workbookViewId="0">
      <pane ySplit="6" topLeftCell="A7" activePane="bottomLeft" state="frozen"/>
      <selection activeCell="M77" sqref="M77"/>
      <selection pane="bottomLeft" activeCell="M23" sqref="M23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8" width="13" style="48" bestFit="1" customWidth="1"/>
    <col min="9" max="9" width="13.42578125" style="48" bestFit="1" customWidth="1"/>
    <col min="10" max="10" width="9.140625" style="48" customWidth="1"/>
    <col min="11" max="11" width="9.5703125" bestFit="1" customWidth="1"/>
    <col min="13" max="13" width="11.5703125" bestFit="1" customWidth="1"/>
  </cols>
  <sheetData>
    <row r="1" spans="1:9" x14ac:dyDescent="0.25">
      <c r="A1" s="210" t="s">
        <v>421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0" t="s">
        <v>276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10">
        <v>2018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5">
      <c r="B6" s="53" t="s">
        <v>303</v>
      </c>
      <c r="C6" s="53" t="s">
        <v>304</v>
      </c>
      <c r="D6" s="53" t="s">
        <v>305</v>
      </c>
      <c r="E6" s="53" t="s">
        <v>306</v>
      </c>
      <c r="F6" s="53" t="s">
        <v>382</v>
      </c>
      <c r="G6" s="53" t="s">
        <v>424</v>
      </c>
      <c r="H6" s="53" t="s">
        <v>451</v>
      </c>
      <c r="I6" s="53" t="s">
        <v>208</v>
      </c>
    </row>
    <row r="8" spans="1:9" s="48" customFormat="1" x14ac:dyDescent="0.25">
      <c r="A8" s="47" t="s">
        <v>210</v>
      </c>
    </row>
    <row r="9" spans="1:9" s="48" customFormat="1" x14ac:dyDescent="0.25">
      <c r="A9" s="47" t="s">
        <v>290</v>
      </c>
    </row>
    <row r="10" spans="1:9" s="48" customFormat="1" x14ac:dyDescent="0.25">
      <c r="A10" t="s">
        <v>359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f>SUM(B10:H10)</f>
        <v>520</v>
      </c>
    </row>
    <row r="11" spans="1:9" s="48" customFormat="1" x14ac:dyDescent="0.25">
      <c r="A11" t="s">
        <v>294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f>SUM(B11:H11)</f>
        <v>102902.56</v>
      </c>
    </row>
    <row r="12" spans="1:9" s="48" customFormat="1" x14ac:dyDescent="0.25">
      <c r="A12" s="47" t="s">
        <v>336</v>
      </c>
      <c r="B12" s="50">
        <f t="shared" ref="B12:I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si="0"/>
        <v>14704</v>
      </c>
      <c r="I12" s="50">
        <f t="shared" si="0"/>
        <v>103422.56</v>
      </c>
    </row>
    <row r="14" spans="1:9" s="48" customFormat="1" x14ac:dyDescent="0.25">
      <c r="A14" s="47" t="s">
        <v>295</v>
      </c>
    </row>
    <row r="15" spans="1:9" s="48" customFormat="1" x14ac:dyDescent="0.25">
      <c r="A15" t="s">
        <v>363</v>
      </c>
    </row>
    <row r="16" spans="1:9" s="48" customFormat="1" x14ac:dyDescent="0.25">
      <c r="A16" t="s">
        <v>452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f>SUM(B16:H16)</f>
        <v>561.19000000000005</v>
      </c>
    </row>
    <row r="17" spans="1:10" s="48" customFormat="1" x14ac:dyDescent="0.25">
      <c r="A17" s="47" t="s">
        <v>298</v>
      </c>
      <c r="B17" s="50">
        <f>SUM(B15:B16)</f>
        <v>78.37</v>
      </c>
      <c r="C17" s="50">
        <f t="shared" ref="C17:H17" si="1">SUM(C15:C16)</f>
        <v>78.38</v>
      </c>
      <c r="D17" s="50">
        <f t="shared" si="1"/>
        <v>84.61</v>
      </c>
      <c r="E17" s="50">
        <f t="shared" si="1"/>
        <v>78.400000000000006</v>
      </c>
      <c r="F17" s="50">
        <f>SUM(F15:F16)</f>
        <v>82.39</v>
      </c>
      <c r="G17" s="50">
        <f>SUM(G15:G16)</f>
        <v>78.48</v>
      </c>
      <c r="H17" s="50">
        <f t="shared" si="1"/>
        <v>80.56</v>
      </c>
      <c r="I17" s="50">
        <f>SUM(I15:I16)</f>
        <v>561.19000000000005</v>
      </c>
    </row>
    <row r="18" spans="1:10" s="48" customFormat="1" x14ac:dyDescent="0.25">
      <c r="A18" t="s">
        <v>247</v>
      </c>
    </row>
    <row r="19" spans="1:10" s="48" customFormat="1" ht="15.75" thickBot="1" x14ac:dyDescent="0.3">
      <c r="A19" s="47" t="s">
        <v>211</v>
      </c>
      <c r="B19" s="51">
        <f t="shared" ref="B19:I19" si="2">B12+B17</f>
        <v>14756.93</v>
      </c>
      <c r="C19" s="51">
        <f t="shared" si="2"/>
        <v>14782.38</v>
      </c>
      <c r="D19" s="51">
        <f t="shared" si="2"/>
        <v>14788.61</v>
      </c>
      <c r="E19" s="51">
        <f t="shared" si="2"/>
        <v>15302.4</v>
      </c>
      <c r="F19" s="51">
        <f>F12+F17</f>
        <v>14786.39</v>
      </c>
      <c r="G19" s="51">
        <f>G12+G17</f>
        <v>14782.48</v>
      </c>
      <c r="H19" s="51">
        <f t="shared" si="2"/>
        <v>14784.56</v>
      </c>
      <c r="I19" s="51">
        <f t="shared" si="2"/>
        <v>103983.75</v>
      </c>
    </row>
    <row r="21" spans="1:10" s="48" customFormat="1" x14ac:dyDescent="0.25">
      <c r="A21" s="47" t="s">
        <v>299</v>
      </c>
    </row>
    <row r="22" spans="1:10" s="48" customFormat="1" x14ac:dyDescent="0.25">
      <c r="A22" t="s">
        <v>453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f>SUM(B22:H22)</f>
        <v>25000</v>
      </c>
    </row>
    <row r="23" spans="1:10" s="48" customFormat="1" x14ac:dyDescent="0.25">
      <c r="A23" t="s">
        <v>454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f>SUM(B23:H23)</f>
        <v>0</v>
      </c>
    </row>
    <row r="24" spans="1:10" s="48" customFormat="1" x14ac:dyDescent="0.25">
      <c r="A24" t="s">
        <v>369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f>SUM(B24:H24)</f>
        <v>0</v>
      </c>
    </row>
    <row r="25" spans="1:10" s="48" customFormat="1" x14ac:dyDescent="0.25">
      <c r="A25" t="s">
        <v>272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f>SUM(B25:H25)</f>
        <v>0</v>
      </c>
    </row>
    <row r="26" spans="1:10" s="48" customFormat="1" x14ac:dyDescent="0.25">
      <c r="A26" t="s">
        <v>273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108">
        <f>SUM(B26:H26)</f>
        <v>0</v>
      </c>
    </row>
    <row r="27" spans="1:10" s="48" customFormat="1" x14ac:dyDescent="0.25">
      <c r="A27" s="47" t="s">
        <v>301</v>
      </c>
      <c r="B27" s="50">
        <f t="shared" ref="B27:I27" si="3">SUM(B22:B26)</f>
        <v>0</v>
      </c>
      <c r="C27" s="50">
        <f t="shared" si="3"/>
        <v>0</v>
      </c>
      <c r="D27" s="50">
        <f t="shared" si="3"/>
        <v>0</v>
      </c>
      <c r="E27" s="50">
        <f t="shared" si="3"/>
        <v>0</v>
      </c>
      <c r="F27" s="50">
        <f>SUM(F22:F26)</f>
        <v>0</v>
      </c>
      <c r="G27" s="50">
        <f>SUM(G22:G26)</f>
        <v>0</v>
      </c>
      <c r="H27" s="50">
        <f t="shared" si="3"/>
        <v>25000</v>
      </c>
      <c r="I27" s="50">
        <f t="shared" si="3"/>
        <v>25000</v>
      </c>
    </row>
    <row r="29" spans="1:10" ht="15.75" thickBot="1" x14ac:dyDescent="0.3">
      <c r="A29" s="47" t="s">
        <v>302</v>
      </c>
      <c r="B29" s="52">
        <f>B27-B19</f>
        <v>-14756.93</v>
      </c>
      <c r="C29" s="52">
        <f t="shared" ref="C29:I29" si="4">C27-C19</f>
        <v>-14782.38</v>
      </c>
      <c r="D29" s="52">
        <f t="shared" si="4"/>
        <v>-14788.61</v>
      </c>
      <c r="E29" s="52">
        <f t="shared" si="4"/>
        <v>-15302.4</v>
      </c>
      <c r="F29" s="52">
        <f>F27-F19</f>
        <v>-14786.39</v>
      </c>
      <c r="G29" s="52">
        <f>G27-G19</f>
        <v>-14782.48</v>
      </c>
      <c r="H29" s="52">
        <f t="shared" si="4"/>
        <v>10215.44</v>
      </c>
      <c r="I29" s="52">
        <f t="shared" si="4"/>
        <v>-78983.75</v>
      </c>
      <c r="J29"/>
    </row>
    <row r="30" spans="1:10" ht="15.75" thickTop="1" x14ac:dyDescent="0.25"/>
  </sheetData>
  <mergeCells count="3">
    <mergeCell ref="A1:I1"/>
    <mergeCell ref="A2:I2"/>
    <mergeCell ref="A3:I3"/>
  </mergeCells>
  <pageMargins left="0.7" right="0.7" top="0.75" bottom="0.75" header="0.3" footer="0.3"/>
  <pageSetup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R270"/>
  <sheetViews>
    <sheetView view="pageBreakPreview" zoomScale="60" zoomScaleNormal="110" workbookViewId="0">
      <pane xSplit="1" ySplit="4" topLeftCell="B122" activePane="bottomRight" state="frozen"/>
      <selection activeCell="M77" sqref="M77"/>
      <selection pane="topRight" activeCell="M77" sqref="M77"/>
      <selection pane="bottomLeft" activeCell="M77" sqref="M77"/>
      <selection pane="bottomRight" activeCell="D194" sqref="D194"/>
    </sheetView>
  </sheetViews>
  <sheetFormatPr defaultColWidth="9.140625" defaultRowHeight="15" x14ac:dyDescent="0.25"/>
  <cols>
    <col min="1" max="1" width="69.5703125" style="114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2" customWidth="1"/>
    <col min="9" max="9" width="24" style="2" hidden="1" customWidth="1"/>
    <col min="10" max="11" width="23" style="2" hidden="1" customWidth="1"/>
    <col min="12" max="13" width="25.5703125" style="2" hidden="1" customWidth="1"/>
    <col min="14" max="14" width="26.28515625" style="2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3" t="s">
        <v>0</v>
      </c>
    </row>
    <row r="2" spans="1:17" ht="19.5" thickBot="1" x14ac:dyDescent="0.35">
      <c r="A2" s="113"/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5" t="s">
        <v>4</v>
      </c>
      <c r="P4" s="4" t="s">
        <v>5</v>
      </c>
      <c r="Q4" s="4" t="s">
        <v>6</v>
      </c>
    </row>
    <row r="5" spans="1:17" x14ac:dyDescent="0.25">
      <c r="A5" s="114" t="s">
        <v>7</v>
      </c>
      <c r="B5" s="5">
        <f t="shared" ref="B5:E6" si="0">+B103+B114</f>
        <v>154563428.67000002</v>
      </c>
      <c r="C5" s="5">
        <f t="shared" si="0"/>
        <v>109601727.78999999</v>
      </c>
      <c r="D5" s="5">
        <f>+D103+D114</f>
        <v>101069868.19</v>
      </c>
      <c r="E5" s="5">
        <f>+E103+E114</f>
        <v>92671539.059999987</v>
      </c>
      <c r="F5" s="5">
        <f>+F103+F114</f>
        <v>94258757.019999996</v>
      </c>
      <c r="G5" s="1">
        <f>G103+G114</f>
        <v>92781088.61999999</v>
      </c>
      <c r="H5" s="58">
        <f>H103+H114</f>
        <v>122616849.06</v>
      </c>
      <c r="I5" s="1">
        <f>I103+I114</f>
        <v>0</v>
      </c>
      <c r="J5" s="1">
        <f t="shared" ref="I5:M8" si="1">J103+J114</f>
        <v>0</v>
      </c>
      <c r="K5" s="1">
        <f>K103+K114</f>
        <v>0</v>
      </c>
      <c r="L5" s="1">
        <f>L103+L114</f>
        <v>0</v>
      </c>
      <c r="M5" s="1">
        <f>M103+M114</f>
        <v>0</v>
      </c>
      <c r="N5" s="1">
        <f t="shared" ref="N5:N10" si="2">SUM(B5:M5)</f>
        <v>767563258.41000009</v>
      </c>
      <c r="P5" s="1">
        <f t="shared" ref="P5:P69" si="3">(N5-M5)/11</f>
        <v>69778478.037272736</v>
      </c>
      <c r="Q5" s="1">
        <f t="shared" ref="Q5:Q69" si="4">M5-P5</f>
        <v>-69778478.037272736</v>
      </c>
    </row>
    <row r="6" spans="1:17" x14ac:dyDescent="0.25">
      <c r="A6" s="114" t="s">
        <v>8</v>
      </c>
      <c r="B6" s="5">
        <f t="shared" si="0"/>
        <v>424529753.21999997</v>
      </c>
      <c r="C6" s="5">
        <f t="shared" si="0"/>
        <v>1212317398.3500001</v>
      </c>
      <c r="D6" s="5">
        <f>+D104+D115</f>
        <v>305312522.13</v>
      </c>
      <c r="E6" s="5">
        <f t="shared" si="0"/>
        <v>46941731.32</v>
      </c>
      <c r="F6" s="5">
        <f>+F104+F115</f>
        <v>115060805.22</v>
      </c>
      <c r="G6" s="1">
        <f>G104+G115</f>
        <v>260963733.31999999</v>
      </c>
      <c r="H6" s="58">
        <f t="shared" ref="H6:H8" si="5">H104+H115</f>
        <v>166703405.97</v>
      </c>
      <c r="I6" s="1">
        <f t="shared" si="1"/>
        <v>0</v>
      </c>
      <c r="J6" s="1">
        <f t="shared" si="1"/>
        <v>0</v>
      </c>
      <c r="K6" s="1">
        <f t="shared" si="1"/>
        <v>0</v>
      </c>
      <c r="L6" s="1">
        <f t="shared" si="1"/>
        <v>0</v>
      </c>
      <c r="M6" s="1">
        <f t="shared" si="1"/>
        <v>0</v>
      </c>
      <c r="N6" s="1">
        <f t="shared" si="2"/>
        <v>2531829349.5300002</v>
      </c>
      <c r="P6" s="1">
        <f t="shared" si="3"/>
        <v>230166304.5027273</v>
      </c>
      <c r="Q6" s="1">
        <f t="shared" si="4"/>
        <v>-230166304.5027273</v>
      </c>
    </row>
    <row r="7" spans="1:17" x14ac:dyDescent="0.25">
      <c r="A7" s="114" t="s">
        <v>9</v>
      </c>
      <c r="B7" s="5">
        <f>B105+B116</f>
        <v>2884704.37</v>
      </c>
      <c r="C7" s="5">
        <f>C105+C116</f>
        <v>2596535.7200000002</v>
      </c>
      <c r="D7" s="5">
        <f>D105+D116</f>
        <v>622399.88</v>
      </c>
      <c r="E7" s="5">
        <f>E105+E116</f>
        <v>1945746.84</v>
      </c>
      <c r="F7" s="5">
        <f>F105+F116</f>
        <v>1927944.8</v>
      </c>
      <c r="G7" s="1">
        <f>G105+G116</f>
        <v>474866.98</v>
      </c>
      <c r="H7" s="58">
        <f t="shared" si="5"/>
        <v>1059505.05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1">
        <f t="shared" si="1"/>
        <v>0</v>
      </c>
      <c r="M7" s="1">
        <f t="shared" si="1"/>
        <v>0</v>
      </c>
      <c r="N7" s="1">
        <f t="shared" si="2"/>
        <v>11511703.640000001</v>
      </c>
      <c r="P7" s="1">
        <f t="shared" si="3"/>
        <v>1046518.5127272728</v>
      </c>
      <c r="Q7" s="1">
        <f t="shared" si="4"/>
        <v>-1046518.5127272728</v>
      </c>
    </row>
    <row r="8" spans="1:17" x14ac:dyDescent="0.25">
      <c r="A8" s="114" t="s">
        <v>10</v>
      </c>
      <c r="B8" s="5">
        <f>+B106</f>
        <v>3238349</v>
      </c>
      <c r="C8" s="5">
        <f>+C106</f>
        <v>1478660.42</v>
      </c>
      <c r="D8" s="5">
        <f>+D106+D117</f>
        <v>1427673</v>
      </c>
      <c r="E8" s="5">
        <f>+E106</f>
        <v>2167697.4500000002</v>
      </c>
      <c r="F8" s="5">
        <f>+F106</f>
        <v>847867.6</v>
      </c>
      <c r="G8" s="6">
        <f>G106+G117</f>
        <v>784960.5</v>
      </c>
      <c r="H8" s="6">
        <f t="shared" si="5"/>
        <v>518684.94</v>
      </c>
      <c r="I8" s="6">
        <f>I106+I117</f>
        <v>0</v>
      </c>
      <c r="J8" s="6">
        <f>J106+J117</f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1">
        <f t="shared" si="2"/>
        <v>10463892.91</v>
      </c>
      <c r="P8" s="1">
        <f t="shared" si="3"/>
        <v>951262.99181818182</v>
      </c>
      <c r="Q8" s="1">
        <f t="shared" si="4"/>
        <v>-951262.99181818182</v>
      </c>
    </row>
    <row r="9" spans="1:17" x14ac:dyDescent="0.25">
      <c r="A9" s="114" t="s">
        <v>11</v>
      </c>
      <c r="B9" s="5">
        <f>+B110+B120</f>
        <v>85825</v>
      </c>
      <c r="C9" s="5">
        <f>+C110+C120</f>
        <v>579872.5</v>
      </c>
      <c r="D9" s="5">
        <f>+D110+D120</f>
        <v>108078.75</v>
      </c>
      <c r="E9" s="5">
        <f t="shared" ref="E9:M9" si="6">+E110+E120</f>
        <v>903549.14</v>
      </c>
      <c r="F9" s="5">
        <f>+F110+F120</f>
        <v>310999.59999999998</v>
      </c>
      <c r="G9" s="5">
        <f t="shared" si="6"/>
        <v>1246220.98</v>
      </c>
      <c r="H9" s="5">
        <f t="shared" si="6"/>
        <v>454175</v>
      </c>
      <c r="I9" s="5">
        <f t="shared" si="6"/>
        <v>0</v>
      </c>
      <c r="J9" s="5">
        <f t="shared" si="6"/>
        <v>0</v>
      </c>
      <c r="K9" s="5">
        <f t="shared" si="6"/>
        <v>0</v>
      </c>
      <c r="L9" s="5">
        <f t="shared" si="6"/>
        <v>0</v>
      </c>
      <c r="M9" s="5">
        <f t="shared" si="6"/>
        <v>0</v>
      </c>
      <c r="N9" s="1">
        <f t="shared" si="2"/>
        <v>3688720.97</v>
      </c>
      <c r="P9" s="1">
        <f t="shared" si="3"/>
        <v>335338.27</v>
      </c>
      <c r="Q9" s="1">
        <f t="shared" si="4"/>
        <v>-335338.27</v>
      </c>
    </row>
    <row r="10" spans="1:17" x14ac:dyDescent="0.25">
      <c r="A10" s="114" t="s">
        <v>12</v>
      </c>
      <c r="B10" s="5"/>
      <c r="C10" s="5"/>
      <c r="D10" s="5"/>
      <c r="E10" s="5">
        <f>E121+E122</f>
        <v>292312.5</v>
      </c>
      <c r="F10" s="5">
        <f t="shared" ref="F10:M10" si="7">F121+F122</f>
        <v>0</v>
      </c>
      <c r="G10" s="5">
        <f t="shared" si="7"/>
        <v>1845</v>
      </c>
      <c r="H10" s="5">
        <f t="shared" si="7"/>
        <v>161476.78</v>
      </c>
      <c r="I10" s="5">
        <f t="shared" si="7"/>
        <v>0</v>
      </c>
      <c r="J10" s="5">
        <f t="shared" si="7"/>
        <v>0</v>
      </c>
      <c r="K10" s="5">
        <f t="shared" si="7"/>
        <v>0</v>
      </c>
      <c r="L10" s="5">
        <f t="shared" si="7"/>
        <v>0</v>
      </c>
      <c r="M10" s="5">
        <f t="shared" si="7"/>
        <v>0</v>
      </c>
      <c r="N10" s="1">
        <f t="shared" si="2"/>
        <v>455634.28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8">SUM(F5:F10)</f>
        <v>212406374.24000001</v>
      </c>
      <c r="G11" s="9">
        <f t="shared" si="8"/>
        <v>356252715.40000004</v>
      </c>
      <c r="H11" s="9">
        <f>SUM(H5:H10)</f>
        <v>291514096.79999995</v>
      </c>
      <c r="I11" s="9">
        <f t="shared" si="8"/>
        <v>0</v>
      </c>
      <c r="J11" s="9">
        <f t="shared" si="8"/>
        <v>0</v>
      </c>
      <c r="K11" s="9">
        <f t="shared" si="8"/>
        <v>0</v>
      </c>
      <c r="L11" s="9">
        <f t="shared" si="8"/>
        <v>0</v>
      </c>
      <c r="M11" s="9">
        <f t="shared" si="8"/>
        <v>0</v>
      </c>
      <c r="N11" s="8">
        <f>SUM(N5:N10)</f>
        <v>3325512559.7400002</v>
      </c>
      <c r="P11" s="8">
        <f t="shared" si="3"/>
        <v>302319323.61272728</v>
      </c>
      <c r="Q11" s="8">
        <f t="shared" si="4"/>
        <v>-302319323.61272728</v>
      </c>
    </row>
    <row r="12" spans="1:17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5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4" t="s">
        <v>14</v>
      </c>
      <c r="B14" s="5">
        <f t="shared" ref="B14:F17" si="9">+B127+B152+B159</f>
        <v>157842383.69</v>
      </c>
      <c r="C14" s="5">
        <f t="shared" si="9"/>
        <v>108846154.46000001</v>
      </c>
      <c r="D14" s="5">
        <f t="shared" si="9"/>
        <v>100906197.60999998</v>
      </c>
      <c r="E14" s="5">
        <f t="shared" si="9"/>
        <v>92373678.780000001</v>
      </c>
      <c r="F14" s="5">
        <f t="shared" si="9"/>
        <v>94255718.569999993</v>
      </c>
      <c r="G14" s="5">
        <f t="shared" ref="G14:M17" si="10">G127+G152+G159</f>
        <v>92265888.5</v>
      </c>
      <c r="H14" s="5">
        <f t="shared" si="10"/>
        <v>124048206.41999999</v>
      </c>
      <c r="I14" s="1">
        <f t="shared" si="10"/>
        <v>0</v>
      </c>
      <c r="J14" s="1">
        <f t="shared" si="10"/>
        <v>0</v>
      </c>
      <c r="K14" s="1">
        <f t="shared" si="10"/>
        <v>0</v>
      </c>
      <c r="L14" s="1">
        <f t="shared" si="10"/>
        <v>0</v>
      </c>
      <c r="M14" s="1">
        <f t="shared" si="10"/>
        <v>0</v>
      </c>
      <c r="N14" s="1">
        <f t="shared" ref="N14:N20" si="11">SUM(B14:M14)</f>
        <v>770538228.02999985</v>
      </c>
      <c r="P14" s="1">
        <f t="shared" si="3"/>
        <v>70048929.820909083</v>
      </c>
      <c r="Q14" s="1">
        <f t="shared" si="4"/>
        <v>-70048929.820909083</v>
      </c>
    </row>
    <row r="15" spans="1:17" x14ac:dyDescent="0.25">
      <c r="A15" s="114" t="s">
        <v>15</v>
      </c>
      <c r="B15" s="5">
        <f t="shared" si="9"/>
        <v>422465521.94999993</v>
      </c>
      <c r="C15" s="5">
        <f t="shared" si="9"/>
        <v>1215546261.6300001</v>
      </c>
      <c r="D15" s="5">
        <f t="shared" si="9"/>
        <v>305678068.99000001</v>
      </c>
      <c r="E15" s="5">
        <f t="shared" si="9"/>
        <v>48482029.219999999</v>
      </c>
      <c r="F15" s="5">
        <f t="shared" si="9"/>
        <v>116507251.69</v>
      </c>
      <c r="G15" s="5">
        <f t="shared" si="10"/>
        <v>262380283.97</v>
      </c>
      <c r="H15" s="5">
        <f t="shared" si="10"/>
        <v>169287706.25999999</v>
      </c>
      <c r="I15" s="1">
        <f t="shared" si="10"/>
        <v>0</v>
      </c>
      <c r="J15" s="1">
        <f t="shared" si="10"/>
        <v>0</v>
      </c>
      <c r="K15" s="1">
        <f t="shared" si="10"/>
        <v>0</v>
      </c>
      <c r="L15" s="1">
        <f t="shared" si="10"/>
        <v>0</v>
      </c>
      <c r="M15" s="1">
        <f t="shared" si="10"/>
        <v>0</v>
      </c>
      <c r="N15" s="1">
        <f t="shared" si="11"/>
        <v>2540347123.71</v>
      </c>
      <c r="P15" s="1">
        <f t="shared" si="3"/>
        <v>230940647.61000001</v>
      </c>
      <c r="Q15" s="1">
        <f t="shared" si="4"/>
        <v>-230940647.61000001</v>
      </c>
    </row>
    <row r="16" spans="1:17" x14ac:dyDescent="0.25">
      <c r="B16" s="5">
        <f t="shared" si="9"/>
        <v>2842624.1900000004</v>
      </c>
      <c r="C16" s="5">
        <f t="shared" si="9"/>
        <v>2535222.7399999998</v>
      </c>
      <c r="D16" s="5">
        <f t="shared" si="9"/>
        <v>618326.57000000007</v>
      </c>
      <c r="E16" s="5">
        <f t="shared" si="9"/>
        <v>1945380.79</v>
      </c>
      <c r="F16" s="5">
        <f t="shared" si="9"/>
        <v>2008835.22</v>
      </c>
      <c r="G16" s="5">
        <f t="shared" si="10"/>
        <v>484708.1</v>
      </c>
      <c r="H16" s="5">
        <f t="shared" si="10"/>
        <v>1046932.3900000002</v>
      </c>
      <c r="I16" s="1">
        <f t="shared" si="10"/>
        <v>0</v>
      </c>
      <c r="J16" s="1">
        <f t="shared" si="10"/>
        <v>0</v>
      </c>
      <c r="K16" s="1">
        <f t="shared" si="10"/>
        <v>0</v>
      </c>
      <c r="L16" s="1">
        <f t="shared" si="10"/>
        <v>0</v>
      </c>
      <c r="M16" s="1">
        <f t="shared" si="10"/>
        <v>0</v>
      </c>
      <c r="N16" s="1">
        <f t="shared" si="11"/>
        <v>11482030</v>
      </c>
      <c r="P16" s="1">
        <f t="shared" si="3"/>
        <v>1043820.9090909091</v>
      </c>
      <c r="Q16" s="1">
        <f t="shared" si="4"/>
        <v>-1043820.9090909091</v>
      </c>
    </row>
    <row r="17" spans="1:17" x14ac:dyDescent="0.25">
      <c r="A17" s="114" t="s">
        <v>16</v>
      </c>
      <c r="B17" s="5">
        <f t="shared" si="9"/>
        <v>3972878.5</v>
      </c>
      <c r="C17" s="5">
        <f t="shared" si="9"/>
        <v>1516251.86</v>
      </c>
      <c r="D17" s="5">
        <f t="shared" si="9"/>
        <v>1446310.3</v>
      </c>
      <c r="E17" s="5">
        <f t="shared" si="9"/>
        <v>2111524.9700000002</v>
      </c>
      <c r="F17" s="5">
        <f t="shared" si="9"/>
        <v>836505.07000000007</v>
      </c>
      <c r="G17" s="5">
        <f t="shared" si="10"/>
        <v>759607.35</v>
      </c>
      <c r="H17" s="5">
        <f t="shared" si="10"/>
        <v>470878.57</v>
      </c>
      <c r="I17" s="1">
        <f t="shared" si="10"/>
        <v>0</v>
      </c>
      <c r="J17" s="1">
        <f t="shared" si="10"/>
        <v>0</v>
      </c>
      <c r="K17" s="1">
        <f t="shared" si="10"/>
        <v>0</v>
      </c>
      <c r="L17" s="1">
        <f t="shared" si="10"/>
        <v>0</v>
      </c>
      <c r="M17" s="1">
        <f t="shared" si="10"/>
        <v>0</v>
      </c>
      <c r="N17" s="1">
        <f t="shared" si="11"/>
        <v>11113956.620000001</v>
      </c>
      <c r="P17" s="1">
        <f t="shared" si="3"/>
        <v>1010359.6927272729</v>
      </c>
      <c r="Q17" s="1">
        <f t="shared" si="4"/>
        <v>-1010359.6927272729</v>
      </c>
    </row>
    <row r="18" spans="1:17" x14ac:dyDescent="0.25">
      <c r="A18" s="114" t="s">
        <v>17</v>
      </c>
      <c r="B18" s="5">
        <f>+B133+B168</f>
        <v>103200.43</v>
      </c>
      <c r="C18" s="5">
        <f>+C133+C168</f>
        <v>557565.63</v>
      </c>
      <c r="D18" s="5">
        <f>+D133+D168</f>
        <v>104546.19</v>
      </c>
      <c r="E18" s="5">
        <f>+E133+E168</f>
        <v>891459.31</v>
      </c>
      <c r="F18" s="5">
        <f>+F133+F168</f>
        <v>468362.63</v>
      </c>
      <c r="G18" s="5">
        <f>G133+G168+G157</f>
        <v>1064241.21</v>
      </c>
      <c r="H18" s="5">
        <f>H133+H168+H157</f>
        <v>433922.20999999996</v>
      </c>
      <c r="I18" s="1">
        <f t="shared" ref="I18:M18" si="12">I133+I168</f>
        <v>0</v>
      </c>
      <c r="J18" s="1">
        <f t="shared" si="12"/>
        <v>0</v>
      </c>
      <c r="K18" s="1">
        <f t="shared" si="12"/>
        <v>0</v>
      </c>
      <c r="L18" s="1">
        <f t="shared" si="12"/>
        <v>0</v>
      </c>
      <c r="M18" s="1">
        <f t="shared" si="12"/>
        <v>0</v>
      </c>
      <c r="N18" s="1">
        <f t="shared" si="11"/>
        <v>3623297.61</v>
      </c>
      <c r="P18" s="1">
        <f t="shared" si="3"/>
        <v>329390.69181818183</v>
      </c>
      <c r="Q18" s="1">
        <f t="shared" si="4"/>
        <v>-329390.69181818183</v>
      </c>
    </row>
    <row r="19" spans="1:17" x14ac:dyDescent="0.25">
      <c r="A19" s="114" t="s">
        <v>403</v>
      </c>
      <c r="B19" s="5"/>
      <c r="C19" s="5"/>
      <c r="D19" s="5"/>
      <c r="E19" s="5"/>
      <c r="F19" s="5">
        <f>F131</f>
        <v>72</v>
      </c>
      <c r="G19" s="5"/>
      <c r="H19" s="5">
        <f>H131+H175</f>
        <v>0</v>
      </c>
      <c r="I19" s="1"/>
      <c r="J19" s="1"/>
      <c r="K19" s="1"/>
      <c r="L19" s="1"/>
      <c r="M19" s="1"/>
      <c r="N19" s="1">
        <f t="shared" si="11"/>
        <v>72</v>
      </c>
      <c r="P19" s="1"/>
      <c r="Q19" s="1"/>
    </row>
    <row r="20" spans="1:17" x14ac:dyDescent="0.25">
      <c r="A20" s="114" t="s">
        <v>12</v>
      </c>
      <c r="B20" s="5"/>
      <c r="C20" s="5"/>
      <c r="D20" s="5"/>
      <c r="E20" s="5">
        <f>E179+E180</f>
        <v>180989.71000000002</v>
      </c>
      <c r="F20" s="5">
        <f t="shared" ref="F20:M20" si="13">F179+F180</f>
        <v>-0.02</v>
      </c>
      <c r="G20" s="5">
        <f>G179+G180+G183+G182</f>
        <v>1208.02</v>
      </c>
      <c r="H20" s="5">
        <f>H179+H180+H183+H182+H184</f>
        <v>165633.65</v>
      </c>
      <c r="I20" s="5">
        <f t="shared" si="13"/>
        <v>0</v>
      </c>
      <c r="J20" s="5">
        <f t="shared" si="13"/>
        <v>0</v>
      </c>
      <c r="K20" s="5">
        <f t="shared" si="13"/>
        <v>0</v>
      </c>
      <c r="L20" s="5">
        <f t="shared" si="13"/>
        <v>0</v>
      </c>
      <c r="M20" s="5">
        <f t="shared" si="13"/>
        <v>0</v>
      </c>
      <c r="N20" s="1">
        <f t="shared" si="11"/>
        <v>347831.36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1"/>
      <c r="J21" s="1"/>
      <c r="K21" s="1"/>
      <c r="L21" s="1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4" t="s">
        <v>18</v>
      </c>
      <c r="B22" s="5">
        <f>B148+B143</f>
        <v>-4303584.0399999917</v>
      </c>
      <c r="C22" s="5">
        <f>C148+C143</f>
        <v>-230168.78000000119</v>
      </c>
      <c r="D22" s="5">
        <f>D148+D143</f>
        <v>-102046.03999999166</v>
      </c>
      <c r="E22" s="13">
        <f>E148+E143</f>
        <v>14781.879999995232</v>
      </c>
      <c r="F22" s="13">
        <f>F148+F143</f>
        <v>98279.520000003278</v>
      </c>
      <c r="G22" s="13">
        <f t="shared" ref="G22:M22" si="14">G143+G148</f>
        <v>426672.62000000477</v>
      </c>
      <c r="H22" s="13">
        <f t="shared" si="14"/>
        <v>293118.11000001431</v>
      </c>
      <c r="I22" s="1">
        <f t="shared" si="14"/>
        <v>0</v>
      </c>
      <c r="J22" s="1">
        <f t="shared" si="14"/>
        <v>0</v>
      </c>
      <c r="K22" s="1">
        <f t="shared" si="14"/>
        <v>0</v>
      </c>
      <c r="L22" s="1">
        <f t="shared" si="14"/>
        <v>0</v>
      </c>
      <c r="M22" s="1">
        <f t="shared" si="14"/>
        <v>0</v>
      </c>
      <c r="N22" s="1">
        <f>SUM(B22:M22)</f>
        <v>-3802946.7299999669</v>
      </c>
      <c r="P22" s="1">
        <f t="shared" si="3"/>
        <v>-345722.42999999697</v>
      </c>
      <c r="Q22" s="1">
        <f t="shared" si="4"/>
        <v>345722.42999999697</v>
      </c>
    </row>
    <row r="23" spans="1:17" x14ac:dyDescent="0.25">
      <c r="A23" s="114" t="s">
        <v>19</v>
      </c>
      <c r="B23" s="5">
        <f t="shared" ref="B23:M23" si="15">B149+B156</f>
        <v>-198311.54999999702</v>
      </c>
      <c r="C23" s="5">
        <f t="shared" si="15"/>
        <v>-141071.81000000052</v>
      </c>
      <c r="D23" s="5">
        <f t="shared" si="15"/>
        <v>73914.890000000596</v>
      </c>
      <c r="E23" s="5">
        <f t="shared" si="15"/>
        <v>442679.44999998808</v>
      </c>
      <c r="F23" s="5">
        <f>F149+F156</f>
        <v>682167.71000003815</v>
      </c>
      <c r="G23" s="5">
        <f t="shared" si="15"/>
        <v>1346835.4100000858</v>
      </c>
      <c r="H23" s="5">
        <f t="shared" si="15"/>
        <v>4496541.1600000262</v>
      </c>
      <c r="I23" s="1">
        <f t="shared" si="15"/>
        <v>0</v>
      </c>
      <c r="J23" s="1">
        <f t="shared" si="15"/>
        <v>0</v>
      </c>
      <c r="K23" s="1">
        <f t="shared" si="15"/>
        <v>0</v>
      </c>
      <c r="L23" s="1">
        <f t="shared" si="15"/>
        <v>0</v>
      </c>
      <c r="M23" s="1">
        <f t="shared" si="15"/>
        <v>0</v>
      </c>
      <c r="N23" s="1">
        <f>SUM(B23:M23)</f>
        <v>6702755.2600001413</v>
      </c>
      <c r="P23" s="1">
        <f t="shared" si="3"/>
        <v>609341.38727274013</v>
      </c>
      <c r="Q23" s="1">
        <f t="shared" si="4"/>
        <v>-609341.38727274013</v>
      </c>
    </row>
    <row r="24" spans="1:17" x14ac:dyDescent="0.25">
      <c r="A24" s="114" t="s">
        <v>20</v>
      </c>
      <c r="B24" s="5">
        <f t="shared" ref="B24:M24" si="16">B150+B158</f>
        <v>-28077.910000000033</v>
      </c>
      <c r="C24" s="5">
        <f t="shared" si="16"/>
        <v>-41342.620000000112</v>
      </c>
      <c r="D24" s="5">
        <f t="shared" si="16"/>
        <v>-28127.939999999944</v>
      </c>
      <c r="E24" s="12">
        <f t="shared" si="16"/>
        <v>1048.5499999999884</v>
      </c>
      <c r="F24" s="12">
        <f t="shared" si="16"/>
        <v>13526.869999999995</v>
      </c>
      <c r="G24" s="12">
        <f t="shared" si="16"/>
        <v>28752.459999999963</v>
      </c>
      <c r="H24" s="12">
        <f t="shared" si="16"/>
        <v>-16145.679999999993</v>
      </c>
      <c r="I24" s="1">
        <f t="shared" si="16"/>
        <v>0</v>
      </c>
      <c r="J24" s="1">
        <f t="shared" si="16"/>
        <v>0</v>
      </c>
      <c r="K24" s="1">
        <f t="shared" si="16"/>
        <v>0</v>
      </c>
      <c r="L24" s="1">
        <f t="shared" si="16"/>
        <v>0</v>
      </c>
      <c r="M24" s="1">
        <f t="shared" si="16"/>
        <v>0</v>
      </c>
      <c r="N24" s="1">
        <f>SUM(B24:M24)</f>
        <v>-70366.270000000135</v>
      </c>
      <c r="P24" s="1">
        <f t="shared" si="3"/>
        <v>-6396.9336363636485</v>
      </c>
      <c r="Q24" s="1">
        <f t="shared" si="4"/>
        <v>6396.9336363636485</v>
      </c>
    </row>
    <row r="25" spans="1:17" x14ac:dyDescent="0.25">
      <c r="A25" s="114" t="s">
        <v>21</v>
      </c>
      <c r="B25" s="5">
        <f>B151+B163</f>
        <v>-17915.510000000009</v>
      </c>
      <c r="C25" s="5">
        <f>C151+C163</f>
        <v>0</v>
      </c>
      <c r="D25" s="5">
        <f>D151+D163</f>
        <v>-35497.39</v>
      </c>
      <c r="E25" s="12">
        <f t="shared" ref="E25:J25" si="17">E151+E163</f>
        <v>2061.8000000000466</v>
      </c>
      <c r="F25" s="12">
        <f>F151+F163</f>
        <v>0</v>
      </c>
      <c r="G25" s="12">
        <f t="shared" si="17"/>
        <v>0</v>
      </c>
      <c r="H25" s="12">
        <f t="shared" si="17"/>
        <v>-19969.050000000003</v>
      </c>
      <c r="I25" s="1">
        <f t="shared" si="17"/>
        <v>0</v>
      </c>
      <c r="J25" s="1">
        <f t="shared" si="17"/>
        <v>0</v>
      </c>
      <c r="K25" s="1">
        <f>K151+K163</f>
        <v>0</v>
      </c>
      <c r="L25" s="1">
        <f>L151+L163</f>
        <v>0</v>
      </c>
      <c r="M25" s="1">
        <f>M151+M163</f>
        <v>0</v>
      </c>
      <c r="N25" s="1">
        <f>SUM(B25:M25)</f>
        <v>-71320.149999999965</v>
      </c>
      <c r="P25" s="1">
        <f t="shared" si="3"/>
        <v>-6483.6499999999969</v>
      </c>
      <c r="Q25" s="1">
        <f t="shared" si="4"/>
        <v>6483.6499999999969</v>
      </c>
    </row>
    <row r="26" spans="1:17" x14ac:dyDescent="0.25">
      <c r="C26" s="1"/>
      <c r="D26" s="1"/>
      <c r="E26" s="10"/>
      <c r="F26" s="10"/>
      <c r="G26" s="10"/>
      <c r="H26" s="58"/>
      <c r="I26" s="1"/>
      <c r="J26" s="1"/>
      <c r="K26" s="1"/>
      <c r="L26" s="1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4" t="s">
        <v>22</v>
      </c>
      <c r="B27" s="5">
        <f t="shared" ref="B27:M29" si="18">B139+B144</f>
        <v>-1451390.0700000077</v>
      </c>
      <c r="C27" s="5">
        <f t="shared" si="18"/>
        <v>-14017.5</v>
      </c>
      <c r="D27" s="5">
        <f t="shared" si="18"/>
        <v>-649600</v>
      </c>
      <c r="E27" s="5">
        <f t="shared" si="18"/>
        <v>339010</v>
      </c>
      <c r="F27" s="5">
        <f>F139+F144</f>
        <v>92680</v>
      </c>
      <c r="G27" s="5">
        <f t="shared" si="18"/>
        <v>525780</v>
      </c>
      <c r="H27" s="5">
        <f t="shared" si="18"/>
        <v>464420</v>
      </c>
      <c r="I27" s="1">
        <f t="shared" si="18"/>
        <v>0</v>
      </c>
      <c r="J27" s="1">
        <f t="shared" si="18"/>
        <v>0</v>
      </c>
      <c r="K27" s="1">
        <f t="shared" si="18"/>
        <v>0</v>
      </c>
      <c r="L27" s="1">
        <f t="shared" si="18"/>
        <v>0</v>
      </c>
      <c r="M27" s="1">
        <f t="shared" si="18"/>
        <v>0</v>
      </c>
      <c r="N27" s="1">
        <f>SUM(B27:M27)</f>
        <v>-693117.57000000775</v>
      </c>
      <c r="P27" s="1">
        <f t="shared" si="3"/>
        <v>-63010.688181818885</v>
      </c>
      <c r="Q27" s="1">
        <f t="shared" si="4"/>
        <v>63010.688181818885</v>
      </c>
    </row>
    <row r="28" spans="1:17" x14ac:dyDescent="0.25">
      <c r="A28" s="114" t="s">
        <v>23</v>
      </c>
      <c r="B28" s="5">
        <f t="shared" si="18"/>
        <v>287951.64999999851</v>
      </c>
      <c r="C28" s="5">
        <f t="shared" si="18"/>
        <v>-4461877.3100000024</v>
      </c>
      <c r="D28" s="5">
        <f t="shared" si="18"/>
        <v>67555.530000001192</v>
      </c>
      <c r="E28" s="12">
        <f t="shared" si="18"/>
        <v>-3414426</v>
      </c>
      <c r="F28" s="12">
        <f>F140+F145</f>
        <v>-28165.459999993443</v>
      </c>
      <c r="G28" s="12">
        <f t="shared" si="18"/>
        <v>-6775542</v>
      </c>
      <c r="H28" s="12">
        <f t="shared" si="18"/>
        <v>-2610952</v>
      </c>
      <c r="I28" s="1">
        <f t="shared" si="18"/>
        <v>0</v>
      </c>
      <c r="J28" s="1">
        <f t="shared" si="18"/>
        <v>0</v>
      </c>
      <c r="K28" s="1">
        <f t="shared" si="18"/>
        <v>0</v>
      </c>
      <c r="L28" s="1">
        <f t="shared" si="18"/>
        <v>0</v>
      </c>
      <c r="M28" s="1">
        <f t="shared" si="18"/>
        <v>0</v>
      </c>
      <c r="N28" s="1">
        <f>SUM(B28:M28)</f>
        <v>-16935455.589999996</v>
      </c>
      <c r="P28" s="1">
        <f t="shared" si="3"/>
        <v>-1539586.8718181814</v>
      </c>
      <c r="Q28" s="1">
        <f t="shared" si="4"/>
        <v>1539586.8718181814</v>
      </c>
    </row>
    <row r="29" spans="1:17" x14ac:dyDescent="0.25">
      <c r="A29" s="114" t="s">
        <v>24</v>
      </c>
      <c r="B29" s="5">
        <f t="shared" si="18"/>
        <v>0</v>
      </c>
      <c r="C29" s="5">
        <f t="shared" si="18"/>
        <v>4535</v>
      </c>
      <c r="D29" s="5">
        <f t="shared" si="18"/>
        <v>-3890</v>
      </c>
      <c r="E29" s="12">
        <f>E141+E146</f>
        <v>-555</v>
      </c>
      <c r="F29" s="12">
        <f>F141+F146</f>
        <v>0</v>
      </c>
      <c r="G29" s="12">
        <f t="shared" ref="G29:M30" si="19">G146+G141</f>
        <v>1775</v>
      </c>
      <c r="H29" s="12">
        <f t="shared" si="19"/>
        <v>0</v>
      </c>
      <c r="I29" s="1">
        <f t="shared" si="19"/>
        <v>0</v>
      </c>
      <c r="J29" s="1">
        <f t="shared" si="19"/>
        <v>0</v>
      </c>
      <c r="K29" s="1">
        <f t="shared" si="19"/>
        <v>0</v>
      </c>
      <c r="L29" s="1">
        <f t="shared" si="19"/>
        <v>0</v>
      </c>
      <c r="M29" s="1">
        <f t="shared" si="19"/>
        <v>0</v>
      </c>
      <c r="N29" s="1">
        <f>SUM(B29:M29)</f>
        <v>1865</v>
      </c>
      <c r="P29" s="1">
        <f t="shared" si="3"/>
        <v>169.54545454545453</v>
      </c>
      <c r="Q29" s="1">
        <f t="shared" si="4"/>
        <v>-169.54545454545453</v>
      </c>
    </row>
    <row r="30" spans="1:17" x14ac:dyDescent="0.25">
      <c r="A30" s="114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F142+F147</f>
        <v>0</v>
      </c>
      <c r="G30" s="14">
        <v>0</v>
      </c>
      <c r="H30" s="14">
        <f>H142+H147</f>
        <v>-880</v>
      </c>
      <c r="I30" s="1">
        <f t="shared" si="19"/>
        <v>0</v>
      </c>
      <c r="J30" s="1">
        <f t="shared" si="19"/>
        <v>0</v>
      </c>
      <c r="K30" s="1">
        <f t="shared" si="19"/>
        <v>0</v>
      </c>
      <c r="L30" s="1">
        <f t="shared" si="19"/>
        <v>0</v>
      </c>
      <c r="M30" s="1">
        <f t="shared" si="19"/>
        <v>0</v>
      </c>
      <c r="N30" s="1">
        <f>SUM(B30:M30)</f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"/>
      <c r="J31" s="1"/>
      <c r="K31" s="1"/>
      <c r="L31" s="1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4" t="s">
        <v>26</v>
      </c>
      <c r="B32" s="1">
        <f>+B169</f>
        <v>2910296.13</v>
      </c>
      <c r="C32" s="1">
        <f>+C169</f>
        <v>1651163.39</v>
      </c>
      <c r="D32" s="1">
        <f t="shared" ref="D32:M32" si="20">+D169</f>
        <v>-414097.59</v>
      </c>
      <c r="E32" s="14">
        <f t="shared" si="20"/>
        <v>959937.83</v>
      </c>
      <c r="F32" s="14">
        <f>+F169</f>
        <v>-3014399.59</v>
      </c>
      <c r="G32" s="14">
        <f t="shared" si="20"/>
        <v>3160990.11</v>
      </c>
      <c r="H32" s="14">
        <f>+H169+H181</f>
        <v>-6978241.0899999999</v>
      </c>
      <c r="I32" s="1">
        <f t="shared" si="20"/>
        <v>0</v>
      </c>
      <c r="J32" s="1">
        <f t="shared" si="20"/>
        <v>0</v>
      </c>
      <c r="K32" s="1">
        <f>+K169</f>
        <v>0</v>
      </c>
      <c r="L32" s="1">
        <f t="shared" si="20"/>
        <v>0</v>
      </c>
      <c r="M32" s="1">
        <f t="shared" si="20"/>
        <v>0</v>
      </c>
      <c r="N32" s="1">
        <f>SUM(B32:M32)</f>
        <v>-1724350.8100000005</v>
      </c>
      <c r="P32" s="1">
        <f t="shared" si="3"/>
        <v>-156759.16454545458</v>
      </c>
      <c r="Q32" s="1">
        <f t="shared" si="4"/>
        <v>156759.16454545458</v>
      </c>
    </row>
    <row r="33" spans="1:17" x14ac:dyDescent="0.25">
      <c r="A33" s="114" t="s">
        <v>27</v>
      </c>
      <c r="B33" s="5">
        <f>B165</f>
        <v>2682.05</v>
      </c>
      <c r="C33" s="5">
        <f>C165</f>
        <v>-1617.38</v>
      </c>
      <c r="D33" s="5">
        <f>D165</f>
        <v>5756.07</v>
      </c>
      <c r="E33" s="5">
        <f t="shared" ref="E33:K33" si="21">E165</f>
        <v>9048.32</v>
      </c>
      <c r="F33" s="5">
        <f>F165</f>
        <v>11168.19</v>
      </c>
      <c r="G33" s="5">
        <f t="shared" si="21"/>
        <v>3721.59</v>
      </c>
      <c r="H33" s="5">
        <f t="shared" si="21"/>
        <v>6172.25</v>
      </c>
      <c r="I33" s="1">
        <f t="shared" si="21"/>
        <v>0</v>
      </c>
      <c r="J33" s="1">
        <f t="shared" si="21"/>
        <v>0</v>
      </c>
      <c r="K33" s="1">
        <f t="shared" si="21"/>
        <v>0</v>
      </c>
      <c r="L33" s="1">
        <f>L165</f>
        <v>0</v>
      </c>
      <c r="M33" s="1">
        <f>M165</f>
        <v>0</v>
      </c>
      <c r="N33" s="1">
        <f>SUM(B33:M33)</f>
        <v>36931.089999999997</v>
      </c>
      <c r="P33" s="1">
        <f t="shared" si="3"/>
        <v>3357.3718181818181</v>
      </c>
      <c r="Q33" s="1">
        <f t="shared" si="4"/>
        <v>-3357.3718181818181</v>
      </c>
    </row>
    <row r="34" spans="1:17" x14ac:dyDescent="0.25">
      <c r="A34" s="114" t="s">
        <v>28</v>
      </c>
      <c r="B34" s="8">
        <f t="shared" ref="B34:N34" si="22">SUM(B14:B33)</f>
        <v>584428259.50999987</v>
      </c>
      <c r="C34" s="8">
        <f t="shared" si="22"/>
        <v>1325767059.3100004</v>
      </c>
      <c r="D34" s="8">
        <f t="shared" si="22"/>
        <v>407667417.19000006</v>
      </c>
      <c r="E34" s="8">
        <f t="shared" si="22"/>
        <v>144338649.61000001</v>
      </c>
      <c r="F34" s="8">
        <f t="shared" si="22"/>
        <v>211932002.40000001</v>
      </c>
      <c r="G34" s="8">
        <f t="shared" si="22"/>
        <v>355674922.34000009</v>
      </c>
      <c r="H34" s="8">
        <f>SUM(H14:H33)</f>
        <v>291087343.19999993</v>
      </c>
      <c r="I34" s="8">
        <f t="shared" si="22"/>
        <v>0</v>
      </c>
      <c r="J34" s="8">
        <f t="shared" si="22"/>
        <v>0</v>
      </c>
      <c r="K34" s="8">
        <f t="shared" si="22"/>
        <v>0</v>
      </c>
      <c r="L34" s="8">
        <f t="shared" si="22"/>
        <v>0</v>
      </c>
      <c r="M34" s="8">
        <f t="shared" si="22"/>
        <v>0</v>
      </c>
      <c r="N34" s="8">
        <f t="shared" si="22"/>
        <v>3320895653.5599999</v>
      </c>
      <c r="P34" s="8">
        <f t="shared" si="3"/>
        <v>301899604.86909091</v>
      </c>
      <c r="Q34" s="8">
        <f t="shared" si="4"/>
        <v>-301899604.86909091</v>
      </c>
    </row>
    <row r="35" spans="1:17" ht="24" customHeight="1" thickBot="1" x14ac:dyDescent="0.3">
      <c r="A35" s="116" t="s">
        <v>29</v>
      </c>
      <c r="B35" s="15">
        <f t="shared" ref="B35:N35" si="23">+B11-B34</f>
        <v>873800.75000011921</v>
      </c>
      <c r="C35" s="15">
        <f t="shared" si="23"/>
        <v>807135.46999979019</v>
      </c>
      <c r="D35" s="15">
        <f t="shared" si="23"/>
        <v>873124.75999993086</v>
      </c>
      <c r="E35" s="15">
        <f t="shared" si="23"/>
        <v>583926.69999995828</v>
      </c>
      <c r="F35" s="15">
        <f t="shared" si="23"/>
        <v>474371.84000000358</v>
      </c>
      <c r="G35" s="15">
        <f t="shared" si="23"/>
        <v>577793.05999994278</v>
      </c>
      <c r="H35" s="15">
        <f>+H11-H34</f>
        <v>426753.60000002384</v>
      </c>
      <c r="I35" s="15">
        <f t="shared" si="23"/>
        <v>0</v>
      </c>
      <c r="J35" s="15">
        <f t="shared" si="23"/>
        <v>0</v>
      </c>
      <c r="K35" s="15">
        <f t="shared" si="23"/>
        <v>0</v>
      </c>
      <c r="L35" s="15">
        <f t="shared" si="23"/>
        <v>0</v>
      </c>
      <c r="M35" s="15">
        <f t="shared" si="23"/>
        <v>0</v>
      </c>
      <c r="N35" s="15">
        <f t="shared" si="23"/>
        <v>4616906.1800003052</v>
      </c>
      <c r="P35" s="15">
        <f t="shared" si="3"/>
        <v>419718.74363639136</v>
      </c>
      <c r="Q35" s="15">
        <f t="shared" si="4"/>
        <v>-419718.74363639136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24">+C35/C11</f>
        <v>6.0843597981615036E-4</v>
      </c>
      <c r="D36" s="16">
        <f t="shared" si="24"/>
        <v>2.137180206969006E-3</v>
      </c>
      <c r="E36" s="16">
        <f t="shared" si="24"/>
        <v>4.029232124268178E-3</v>
      </c>
      <c r="F36" s="16">
        <f t="shared" si="24"/>
        <v>2.233322053998277E-3</v>
      </c>
      <c r="G36" s="16">
        <f t="shared" si="24"/>
        <v>1.6218628940166744E-3</v>
      </c>
      <c r="H36" s="16">
        <f t="shared" si="24"/>
        <v>1.4639209722087921E-3</v>
      </c>
      <c r="I36" s="16" t="e">
        <f t="shared" si="24"/>
        <v>#DIV/0!</v>
      </c>
      <c r="J36" s="16" t="e">
        <f t="shared" si="24"/>
        <v>#DIV/0!</v>
      </c>
      <c r="K36" s="16" t="e">
        <f t="shared" si="24"/>
        <v>#DIV/0!</v>
      </c>
      <c r="L36" s="16" t="e">
        <f t="shared" si="24"/>
        <v>#DIV/0!</v>
      </c>
      <c r="M36" s="16" t="e">
        <f>+M35/M11</f>
        <v>#DIV/0!</v>
      </c>
      <c r="N36" s="16">
        <f t="shared" si="24"/>
        <v>1.3883291964957337E-3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7" t="s">
        <v>30</v>
      </c>
      <c r="B38" s="6">
        <f>'[1]Comparison 2017-2018'!$G$30</f>
        <v>885928.51408513961</v>
      </c>
      <c r="C38" s="6">
        <f>'[1]Comparison 2017-2018'!$G$54</f>
        <v>681928.29401690571</v>
      </c>
      <c r="D38" s="6">
        <f>'[1]Comparison 2017-2018'!$G$80</f>
        <v>674363.71418699983</v>
      </c>
      <c r="E38" s="6">
        <f>'[1]Comparison 2017-2018'!$G$105</f>
        <v>655611.34502510389</v>
      </c>
      <c r="F38" s="6">
        <v>538671.68000000005</v>
      </c>
      <c r="G38" s="6">
        <f>'[1]Comparison 2017-2018'!$G$155</f>
        <v>704133.82690028625</v>
      </c>
      <c r="H38" s="6">
        <f>'[1]Comparison 2017-2018'!$G$181</f>
        <v>515101.24188355304</v>
      </c>
      <c r="I38" s="6"/>
      <c r="J38" s="6"/>
      <c r="K38" s="6"/>
      <c r="L38" s="6"/>
      <c r="M38" s="6"/>
      <c r="N38" s="1">
        <f t="shared" ref="N38:N44" si="25">SUM(B38:M38)</f>
        <v>4655738.6160979886</v>
      </c>
      <c r="P38" s="1">
        <f t="shared" si="3"/>
        <v>423248.96509981714</v>
      </c>
      <c r="Q38" s="1">
        <f t="shared" si="4"/>
        <v>-423248.96509981714</v>
      </c>
    </row>
    <row r="39" spans="1:17" s="17" customFormat="1" x14ac:dyDescent="0.25">
      <c r="A39" s="117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/>
      <c r="J39" s="6"/>
      <c r="K39" s="6"/>
      <c r="L39" s="6"/>
      <c r="M39" s="6"/>
      <c r="N39" s="1">
        <f t="shared" si="25"/>
        <v>35101.1</v>
      </c>
      <c r="P39" s="1">
        <f t="shared" si="3"/>
        <v>3191.0090909090909</v>
      </c>
      <c r="Q39" s="1">
        <f t="shared" si="4"/>
        <v>-3191.0090909090909</v>
      </c>
    </row>
    <row r="40" spans="1:17" s="17" customFormat="1" x14ac:dyDescent="0.25">
      <c r="A40" s="117" t="s">
        <v>32</v>
      </c>
      <c r="B40" s="6">
        <f>'[2]Monthly Summary'!$B$6</f>
        <v>51934.229999999996</v>
      </c>
      <c r="C40" s="6">
        <f>[3]Feb!$B$35</f>
        <v>36189.82</v>
      </c>
      <c r="D40" s="6">
        <f>[2]Mar!$B$35</f>
        <v>90332.26999999999</v>
      </c>
      <c r="E40" s="13">
        <f>[2]Apr!$B$35</f>
        <v>42087.81</v>
      </c>
      <c r="F40" s="13">
        <v>36064.49</v>
      </c>
      <c r="G40" s="13">
        <f>[2]Jun!$B$35</f>
        <v>6099.46</v>
      </c>
      <c r="H40" s="13">
        <f>[2]Jul!$B$35</f>
        <v>91429.33</v>
      </c>
      <c r="I40" s="6"/>
      <c r="J40" s="18"/>
      <c r="K40" s="18"/>
      <c r="L40" s="18"/>
      <c r="M40" s="19"/>
      <c r="N40" s="1">
        <f t="shared" si="25"/>
        <v>354137.41</v>
      </c>
      <c r="P40" s="1">
        <f t="shared" si="3"/>
        <v>32194.309999999998</v>
      </c>
      <c r="Q40" s="1">
        <f t="shared" si="4"/>
        <v>-32194.309999999998</v>
      </c>
    </row>
    <row r="41" spans="1:17" s="17" customFormat="1" x14ac:dyDescent="0.25">
      <c r="A41" s="117" t="s">
        <v>33</v>
      </c>
      <c r="B41" s="1">
        <f>-11152-36907.01</f>
        <v>-48059.01</v>
      </c>
      <c r="C41" s="6">
        <f>-4530.13-104404.39</f>
        <v>-108934.52</v>
      </c>
      <c r="D41" s="6">
        <v>-27223.4</v>
      </c>
      <c r="E41" s="12">
        <v>-45776.83</v>
      </c>
      <c r="F41" s="12">
        <v>-39077.56</v>
      </c>
      <c r="G41" s="12">
        <f>-13634.37-199763.99</f>
        <v>-213398.36</v>
      </c>
      <c r="H41" s="12">
        <v>-22650.5</v>
      </c>
      <c r="I41" s="6"/>
      <c r="J41" s="6"/>
      <c r="K41" s="18"/>
      <c r="L41" s="18"/>
      <c r="M41" s="18"/>
      <c r="N41" s="1">
        <f t="shared" si="25"/>
        <v>-505120.18</v>
      </c>
      <c r="O41" s="20"/>
      <c r="P41" s="1">
        <f t="shared" si="3"/>
        <v>-45920.016363636365</v>
      </c>
      <c r="Q41" s="1">
        <f t="shared" si="4"/>
        <v>45920.016363636365</v>
      </c>
    </row>
    <row r="42" spans="1:17" s="17" customFormat="1" x14ac:dyDescent="0.25">
      <c r="A42" s="117" t="s">
        <v>34</v>
      </c>
      <c r="B42" s="1">
        <f>-51657.33-70861</f>
        <v>-122518.33</v>
      </c>
      <c r="C42" s="6">
        <f>8840+42577</f>
        <v>51417</v>
      </c>
      <c r="D42" s="6">
        <f>-5460+61057-530</f>
        <v>55067</v>
      </c>
      <c r="E42" s="12">
        <f>9250+15494+530</f>
        <v>25274</v>
      </c>
      <c r="F42" s="12">
        <v>-57663</v>
      </c>
      <c r="G42" s="12">
        <f>-3480+39926</f>
        <v>36446</v>
      </c>
      <c r="H42" s="12">
        <v>-25800</v>
      </c>
      <c r="I42" s="6"/>
      <c r="J42" s="6"/>
      <c r="K42" s="18"/>
      <c r="L42" s="18"/>
      <c r="M42" s="21"/>
      <c r="N42" s="1">
        <f t="shared" si="25"/>
        <v>-37777.33</v>
      </c>
      <c r="O42" s="20"/>
      <c r="P42" s="1">
        <f t="shared" si="3"/>
        <v>-3434.3027272727272</v>
      </c>
      <c r="Q42" s="1">
        <f t="shared" si="4"/>
        <v>3434.3027272727272</v>
      </c>
    </row>
    <row r="43" spans="1:17" s="17" customFormat="1" x14ac:dyDescent="0.25">
      <c r="A43" s="114" t="s">
        <v>35</v>
      </c>
      <c r="B43" s="1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/>
      <c r="J43" s="6"/>
      <c r="K43" s="18"/>
      <c r="L43" s="18"/>
      <c r="M43" s="18"/>
      <c r="N43" s="1">
        <f t="shared" si="25"/>
        <v>0</v>
      </c>
      <c r="P43" s="1">
        <f t="shared" si="3"/>
        <v>0</v>
      </c>
      <c r="Q43" s="1">
        <f t="shared" si="4"/>
        <v>0</v>
      </c>
    </row>
    <row r="44" spans="1:17" s="17" customFormat="1" x14ac:dyDescent="0.25">
      <c r="A44" s="114" t="s">
        <v>36</v>
      </c>
      <c r="B44" s="1">
        <v>-35000</v>
      </c>
      <c r="C44" s="1">
        <f>-18000-17000</f>
        <v>-35000</v>
      </c>
      <c r="D44" s="1">
        <v>-35000</v>
      </c>
      <c r="E44" s="1">
        <v>-35000</v>
      </c>
      <c r="F44" s="1">
        <v>-35000</v>
      </c>
      <c r="G44" s="1">
        <v>-35000</v>
      </c>
      <c r="H44" s="1">
        <v>-35000</v>
      </c>
      <c r="I44" s="1"/>
      <c r="J44" s="1"/>
      <c r="K44" s="1"/>
      <c r="L44" s="1"/>
      <c r="M44" s="1"/>
      <c r="N44" s="1">
        <f t="shared" si="25"/>
        <v>-245000</v>
      </c>
      <c r="P44" s="1">
        <f t="shared" si="3"/>
        <v>-22272.727272727272</v>
      </c>
      <c r="Q44" s="1">
        <f t="shared" si="4"/>
        <v>22272.727272727272</v>
      </c>
    </row>
    <row r="45" spans="1:17" s="17" customFormat="1" x14ac:dyDescent="0.25">
      <c r="A45" s="117"/>
      <c r="B45" s="8">
        <f>SUM(B38:B44)</f>
        <v>744941.04408513964</v>
      </c>
      <c r="C45" s="8">
        <f t="shared" ref="C45:M45" si="26">SUM(C38:C44)</f>
        <v>628087.73401690566</v>
      </c>
      <c r="D45" s="8">
        <f t="shared" si="26"/>
        <v>763721.3041869998</v>
      </c>
      <c r="E45" s="8">
        <f t="shared" si="26"/>
        <v>645201.68502510397</v>
      </c>
      <c r="F45" s="8">
        <f t="shared" si="26"/>
        <v>446446.84000000008</v>
      </c>
      <c r="G45" s="8">
        <f t="shared" si="26"/>
        <v>502278.93690028624</v>
      </c>
      <c r="H45" s="8">
        <f t="shared" si="26"/>
        <v>526402.07188355306</v>
      </c>
      <c r="I45" s="8">
        <f t="shared" si="26"/>
        <v>0</v>
      </c>
      <c r="J45" s="8">
        <f t="shared" si="26"/>
        <v>0</v>
      </c>
      <c r="K45" s="8">
        <f t="shared" si="26"/>
        <v>0</v>
      </c>
      <c r="L45" s="8">
        <f>SUM(L38:L44)</f>
        <v>0</v>
      </c>
      <c r="M45" s="8">
        <f t="shared" si="26"/>
        <v>0</v>
      </c>
      <c r="N45" s="8">
        <f>SUM(N38:N44)</f>
        <v>4257079.6160979886</v>
      </c>
      <c r="P45" s="8">
        <f t="shared" si="3"/>
        <v>387007.23782708985</v>
      </c>
      <c r="Q45" s="8">
        <f t="shared" si="4"/>
        <v>-387007.23782708985</v>
      </c>
    </row>
    <row r="46" spans="1:17" ht="25.5" customHeight="1" thickBot="1" x14ac:dyDescent="0.3">
      <c r="A46" s="116" t="s">
        <v>37</v>
      </c>
      <c r="B46" s="22">
        <f>+B35-B45</f>
        <v>128859.70591497957</v>
      </c>
      <c r="C46" s="22">
        <f t="shared" ref="C46:M46" si="27">+C35-C45</f>
        <v>179047.73598288454</v>
      </c>
      <c r="D46" s="22">
        <f>+D35-D45</f>
        <v>109403.45581293106</v>
      </c>
      <c r="E46" s="22">
        <f t="shared" si="27"/>
        <v>-61274.985025145696</v>
      </c>
      <c r="F46" s="22">
        <f t="shared" si="27"/>
        <v>27925.000000003492</v>
      </c>
      <c r="G46" s="22">
        <f t="shared" si="27"/>
        <v>75514.123099656543</v>
      </c>
      <c r="H46" s="22">
        <f t="shared" si="27"/>
        <v>-99648.471883529215</v>
      </c>
      <c r="I46" s="22">
        <f t="shared" si="27"/>
        <v>0</v>
      </c>
      <c r="J46" s="22">
        <f t="shared" si="27"/>
        <v>0</v>
      </c>
      <c r="K46" s="22">
        <f>+K35-K45</f>
        <v>0</v>
      </c>
      <c r="L46" s="22">
        <f>+L35-L45</f>
        <v>0</v>
      </c>
      <c r="M46" s="22">
        <f t="shared" si="27"/>
        <v>0</v>
      </c>
      <c r="N46" s="22">
        <f>+N35-N45</f>
        <v>359826.56390231661</v>
      </c>
      <c r="P46" s="22">
        <f t="shared" si="3"/>
        <v>32711.50580930151</v>
      </c>
      <c r="Q46" s="22">
        <f t="shared" si="4"/>
        <v>-32711.50580930151</v>
      </c>
    </row>
    <row r="47" spans="1:17" ht="15.75" thickTop="1" x14ac:dyDescent="0.25">
      <c r="C47" s="1"/>
      <c r="D47" s="1"/>
      <c r="E47" s="1"/>
      <c r="F47" s="1"/>
      <c r="G47" s="1"/>
      <c r="H47" s="23"/>
      <c r="I47" s="23"/>
      <c r="J47" s="23"/>
      <c r="K47" s="23"/>
      <c r="L47" s="1"/>
      <c r="M47" s="1"/>
      <c r="P47" s="2">
        <f t="shared" si="3"/>
        <v>0</v>
      </c>
      <c r="Q47" s="2">
        <f t="shared" si="4"/>
        <v>0</v>
      </c>
    </row>
    <row r="48" spans="1:17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2">
        <f t="shared" si="3"/>
        <v>0</v>
      </c>
      <c r="Q48" s="2">
        <f t="shared" si="4"/>
        <v>0</v>
      </c>
    </row>
    <row r="49" spans="1:17" ht="30" x14ac:dyDescent="0.25">
      <c r="A49" s="118" t="s">
        <v>38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2">
        <f t="shared" si="3"/>
        <v>0</v>
      </c>
      <c r="Q49" s="2">
        <f t="shared" si="4"/>
        <v>0</v>
      </c>
    </row>
    <row r="50" spans="1:17" x14ac:dyDescent="0.25">
      <c r="A50" s="114" t="s">
        <v>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2">
        <f t="shared" si="3"/>
        <v>0</v>
      </c>
      <c r="Q50" s="2">
        <f t="shared" si="4"/>
        <v>0</v>
      </c>
    </row>
    <row r="51" spans="1:17" x14ac:dyDescent="0.25">
      <c r="A51" s="114" t="s">
        <v>39</v>
      </c>
      <c r="B51" s="5">
        <f>B102</f>
        <v>0</v>
      </c>
      <c r="C51" s="5">
        <f>C102</f>
        <v>0</v>
      </c>
      <c r="D51" s="5">
        <f>D102</f>
        <v>0</v>
      </c>
      <c r="E51" s="1">
        <f t="shared" ref="E51:J51" si="28">E102</f>
        <v>0</v>
      </c>
      <c r="F51" s="1">
        <f t="shared" si="28"/>
        <v>0</v>
      </c>
      <c r="G51" s="1">
        <f t="shared" si="28"/>
        <v>0</v>
      </c>
      <c r="H51" s="58">
        <f t="shared" si="28"/>
        <v>0</v>
      </c>
      <c r="I51" s="1">
        <f t="shared" si="28"/>
        <v>0</v>
      </c>
      <c r="J51" s="1">
        <f t="shared" si="28"/>
        <v>0</v>
      </c>
      <c r="K51" s="1">
        <f>K102</f>
        <v>0</v>
      </c>
      <c r="L51" s="1">
        <f>L102</f>
        <v>0</v>
      </c>
      <c r="M51" s="1">
        <f>M102</f>
        <v>0</v>
      </c>
      <c r="N51" s="1">
        <f>SUM(B51:M51)</f>
        <v>0</v>
      </c>
      <c r="P51" s="1">
        <f t="shared" si="3"/>
        <v>0</v>
      </c>
      <c r="Q51" s="1">
        <f t="shared" si="4"/>
        <v>0</v>
      </c>
    </row>
    <row r="52" spans="1:17" x14ac:dyDescent="0.25">
      <c r="A52" s="114" t="s">
        <v>40</v>
      </c>
      <c r="B52" s="5">
        <f>B108+B119</f>
        <v>44174.48</v>
      </c>
      <c r="C52" s="5">
        <f>C108+C119</f>
        <v>37026.959999999999</v>
      </c>
      <c r="D52" s="5">
        <f>D108+D119</f>
        <v>50952.97</v>
      </c>
      <c r="E52" s="5">
        <f>E108+E119</f>
        <v>17383</v>
      </c>
      <c r="F52" s="5">
        <f t="shared" ref="F52:M52" si="29">F108+F119</f>
        <v>6537.5</v>
      </c>
      <c r="G52" s="5">
        <f t="shared" si="29"/>
        <v>12690.5</v>
      </c>
      <c r="H52" s="5">
        <f t="shared" si="29"/>
        <v>14136.99</v>
      </c>
      <c r="I52" s="5">
        <f t="shared" si="29"/>
        <v>0</v>
      </c>
      <c r="J52" s="5">
        <f t="shared" si="29"/>
        <v>0</v>
      </c>
      <c r="K52" s="5">
        <f t="shared" si="29"/>
        <v>0</v>
      </c>
      <c r="L52" s="5">
        <f t="shared" si="29"/>
        <v>0</v>
      </c>
      <c r="M52" s="5">
        <f t="shared" si="29"/>
        <v>0</v>
      </c>
      <c r="N52" s="1">
        <f>SUM(B52:M52)</f>
        <v>182902.39999999999</v>
      </c>
      <c r="P52" s="1">
        <f t="shared" si="3"/>
        <v>16627.49090909091</v>
      </c>
      <c r="Q52" s="1">
        <f t="shared" si="4"/>
        <v>-16627.49090909091</v>
      </c>
    </row>
    <row r="53" spans="1:17" x14ac:dyDescent="0.25">
      <c r="A53" s="114" t="s">
        <v>41</v>
      </c>
      <c r="B53" s="1">
        <f>B107+B118</f>
        <v>0</v>
      </c>
      <c r="C53" s="1">
        <f>C107+C118</f>
        <v>0</v>
      </c>
      <c r="D53" s="1">
        <f>D107+D118</f>
        <v>0</v>
      </c>
      <c r="E53" s="1">
        <f>E107+E118</f>
        <v>0</v>
      </c>
      <c r="F53" s="1">
        <f t="shared" ref="F53:M53" si="30">F107+F118</f>
        <v>100</v>
      </c>
      <c r="G53" s="1">
        <f t="shared" si="30"/>
        <v>0</v>
      </c>
      <c r="H53" s="58">
        <f t="shared" si="30"/>
        <v>100</v>
      </c>
      <c r="I53" s="1">
        <f t="shared" si="30"/>
        <v>0</v>
      </c>
      <c r="J53" s="1">
        <f t="shared" si="30"/>
        <v>0</v>
      </c>
      <c r="K53" s="1">
        <f t="shared" si="30"/>
        <v>0</v>
      </c>
      <c r="L53" s="1">
        <f t="shared" si="30"/>
        <v>0</v>
      </c>
      <c r="M53" s="1">
        <f t="shared" si="30"/>
        <v>0</v>
      </c>
      <c r="N53" s="1">
        <f>SUM(B53:M53)</f>
        <v>200</v>
      </c>
      <c r="P53" s="1">
        <f t="shared" si="3"/>
        <v>18.181818181818183</v>
      </c>
      <c r="Q53" s="1">
        <f t="shared" si="4"/>
        <v>-18.181818181818183</v>
      </c>
    </row>
    <row r="54" spans="1:17" x14ac:dyDescent="0.25">
      <c r="A54" s="114" t="s">
        <v>42</v>
      </c>
      <c r="B54" s="5">
        <f>B109+B111+B112+B113</f>
        <v>44096.53</v>
      </c>
      <c r="C54" s="5">
        <f>C109+C111+C112+C113</f>
        <v>78044.399999999994</v>
      </c>
      <c r="D54" s="5">
        <f>D109+D111+D112+D113</f>
        <v>64584.18</v>
      </c>
      <c r="E54" s="5">
        <f>E109+E111+E112+E113</f>
        <v>30224.629999999997</v>
      </c>
      <c r="F54" s="5">
        <f t="shared" ref="F54:M54" si="31">F109+F111+F112+F113</f>
        <v>73319.850000000006</v>
      </c>
      <c r="G54" s="5">
        <f t="shared" si="31"/>
        <v>39472.699999999997</v>
      </c>
      <c r="H54" s="5">
        <f t="shared" si="31"/>
        <v>105316.34</v>
      </c>
      <c r="I54" s="5">
        <f t="shared" si="31"/>
        <v>0</v>
      </c>
      <c r="J54" s="5">
        <f t="shared" si="31"/>
        <v>0</v>
      </c>
      <c r="K54" s="5">
        <f t="shared" si="31"/>
        <v>0</v>
      </c>
      <c r="L54" s="5">
        <f t="shared" si="31"/>
        <v>0</v>
      </c>
      <c r="M54" s="5">
        <f t="shared" si="31"/>
        <v>0</v>
      </c>
      <c r="N54" s="1">
        <f>SUM(B54:M54)</f>
        <v>435058.63</v>
      </c>
      <c r="P54" s="1">
        <f t="shared" si="3"/>
        <v>39550.784545454546</v>
      </c>
      <c r="Q54" s="1">
        <f t="shared" si="4"/>
        <v>-39550.784545454546</v>
      </c>
    </row>
    <row r="55" spans="1:17" x14ac:dyDescent="0.25">
      <c r="A55" s="114" t="s">
        <v>43</v>
      </c>
      <c r="B55" s="24">
        <f>SUM(B51:B54)</f>
        <v>88271.010000000009</v>
      </c>
      <c r="C55" s="24">
        <f t="shared" ref="C55:N55" si="32">SUM(C51:C54)</f>
        <v>115071.35999999999</v>
      </c>
      <c r="D55" s="24">
        <f t="shared" si="32"/>
        <v>115537.15</v>
      </c>
      <c r="E55" s="24">
        <f t="shared" si="32"/>
        <v>47607.63</v>
      </c>
      <c r="F55" s="24">
        <f t="shared" si="32"/>
        <v>79957.350000000006</v>
      </c>
      <c r="G55" s="24">
        <f t="shared" si="32"/>
        <v>52163.199999999997</v>
      </c>
      <c r="H55" s="24">
        <f t="shared" si="32"/>
        <v>119553.33</v>
      </c>
      <c r="I55" s="24">
        <f t="shared" si="32"/>
        <v>0</v>
      </c>
      <c r="J55" s="24">
        <f t="shared" si="32"/>
        <v>0</v>
      </c>
      <c r="K55" s="24">
        <f t="shared" si="32"/>
        <v>0</v>
      </c>
      <c r="L55" s="24">
        <f t="shared" si="32"/>
        <v>0</v>
      </c>
      <c r="M55" s="24">
        <f t="shared" si="32"/>
        <v>0</v>
      </c>
      <c r="N55" s="24">
        <f t="shared" si="32"/>
        <v>618161.03</v>
      </c>
      <c r="P55" s="24">
        <f t="shared" si="3"/>
        <v>56196.457272727275</v>
      </c>
      <c r="Q55" s="24">
        <f t="shared" si="4"/>
        <v>-56196.457272727275</v>
      </c>
    </row>
    <row r="56" spans="1:17" x14ac:dyDescent="0.25">
      <c r="A56" s="114" t="s">
        <v>44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1"/>
      <c r="P56" s="11">
        <f t="shared" si="3"/>
        <v>0</v>
      </c>
      <c r="Q56" s="11">
        <f t="shared" si="4"/>
        <v>0</v>
      </c>
    </row>
    <row r="57" spans="1:17" x14ac:dyDescent="0.25">
      <c r="A57" s="114" t="s">
        <v>39</v>
      </c>
      <c r="B57" s="5">
        <f>B126</f>
        <v>0</v>
      </c>
      <c r="C57" s="5">
        <f>C126</f>
        <v>0</v>
      </c>
      <c r="D57" s="5">
        <f>D126</f>
        <v>0</v>
      </c>
      <c r="E57" s="5">
        <f t="shared" ref="E57:J57" si="33">E126</f>
        <v>0</v>
      </c>
      <c r="F57" s="5">
        <f>F126</f>
        <v>0</v>
      </c>
      <c r="G57" s="1">
        <f t="shared" si="33"/>
        <v>0</v>
      </c>
      <c r="H57" s="58">
        <f t="shared" si="33"/>
        <v>0</v>
      </c>
      <c r="I57" s="1">
        <f t="shared" si="33"/>
        <v>0</v>
      </c>
      <c r="J57" s="1">
        <f t="shared" si="33"/>
        <v>0</v>
      </c>
      <c r="K57" s="1">
        <f>K126</f>
        <v>0</v>
      </c>
      <c r="L57" s="1">
        <f>L126</f>
        <v>0</v>
      </c>
      <c r="M57" s="1">
        <f>M126</f>
        <v>0</v>
      </c>
      <c r="N57" s="1">
        <f>SUM(B57:M57)</f>
        <v>0</v>
      </c>
      <c r="P57" s="1">
        <f t="shared" si="3"/>
        <v>0</v>
      </c>
      <c r="Q57" s="1">
        <f t="shared" si="4"/>
        <v>0</v>
      </c>
    </row>
    <row r="58" spans="1:17" x14ac:dyDescent="0.25">
      <c r="A58" s="114" t="s">
        <v>45</v>
      </c>
      <c r="B58" s="5">
        <f>B132+B137+B138+B176+B164+B167+B175</f>
        <v>57082.080000000009</v>
      </c>
      <c r="C58" s="5">
        <f>C132+C137+C138+C176+C164+C167+C175</f>
        <v>43072.58</v>
      </c>
      <c r="D58" s="5">
        <f>D132+D137+D138+D176+D164+D167+D175</f>
        <v>59675.47</v>
      </c>
      <c r="E58" s="5">
        <f>E132+E137+E138+E176+E164+E167+E175</f>
        <v>4134.2700000000004</v>
      </c>
      <c r="F58" s="5">
        <f>F132+F137+F138+F176+F164+F167+F175</f>
        <v>5289.5499999999993</v>
      </c>
      <c r="G58" s="1">
        <f t="shared" ref="G58:M58" si="34">G132+G164+G137+G138+G131+G175+G176+G167</f>
        <v>13894.16</v>
      </c>
      <c r="H58" s="58">
        <f t="shared" si="34"/>
        <v>20530.47</v>
      </c>
      <c r="I58" s="1">
        <f t="shared" si="34"/>
        <v>0</v>
      </c>
      <c r="J58" s="1">
        <f t="shared" si="34"/>
        <v>0</v>
      </c>
      <c r="K58" s="1">
        <f t="shared" si="34"/>
        <v>0</v>
      </c>
      <c r="L58" s="1">
        <f t="shared" si="34"/>
        <v>0</v>
      </c>
      <c r="M58" s="1">
        <f t="shared" si="34"/>
        <v>0</v>
      </c>
      <c r="N58" s="1">
        <f t="shared" ref="N58:N64" si="35">SUM(B58:M58)</f>
        <v>203678.58</v>
      </c>
      <c r="P58" s="1">
        <f t="shared" si="3"/>
        <v>18516.234545454543</v>
      </c>
      <c r="Q58" s="1">
        <f t="shared" si="4"/>
        <v>-18516.234545454543</v>
      </c>
    </row>
    <row r="59" spans="1:17" x14ac:dyDescent="0.25">
      <c r="A59" s="114" t="s">
        <v>46</v>
      </c>
      <c r="B59" s="5">
        <f>B134+B136</f>
        <v>162526.82</v>
      </c>
      <c r="C59" s="5">
        <f>C134+C136</f>
        <v>186551.2</v>
      </c>
      <c r="D59" s="5">
        <f>D134+D136+D135</f>
        <v>121471.26</v>
      </c>
      <c r="E59" s="5">
        <f t="shared" ref="E59:J59" si="36">E134+E136</f>
        <v>104538.95</v>
      </c>
      <c r="F59" s="5">
        <f>F134+F136+F135</f>
        <v>112337.33</v>
      </c>
      <c r="G59" s="1">
        <f t="shared" si="36"/>
        <v>58522.59</v>
      </c>
      <c r="H59" s="58">
        <f t="shared" si="36"/>
        <v>142640.88</v>
      </c>
      <c r="I59" s="1">
        <f t="shared" si="36"/>
        <v>0</v>
      </c>
      <c r="J59" s="1">
        <f t="shared" si="36"/>
        <v>0</v>
      </c>
      <c r="K59" s="1">
        <f>K134+K136</f>
        <v>0</v>
      </c>
      <c r="L59" s="1">
        <f>L134+L136</f>
        <v>0</v>
      </c>
      <c r="M59" s="1">
        <f>M134+M136+M135</f>
        <v>0</v>
      </c>
      <c r="N59" s="1">
        <f t="shared" si="35"/>
        <v>888589.02999999991</v>
      </c>
      <c r="P59" s="1">
        <f t="shared" si="3"/>
        <v>80780.820909090908</v>
      </c>
      <c r="Q59" s="1">
        <f t="shared" si="4"/>
        <v>-80780.820909090908</v>
      </c>
    </row>
    <row r="60" spans="1:17" x14ac:dyDescent="0.25">
      <c r="A60" s="114" t="s">
        <v>47</v>
      </c>
      <c r="B60" s="5">
        <f t="shared" ref="B60:M60" si="37">B166</f>
        <v>5000</v>
      </c>
      <c r="C60" s="5">
        <f t="shared" si="37"/>
        <v>16772.5</v>
      </c>
      <c r="D60" s="5">
        <f t="shared" si="37"/>
        <v>-6772.5</v>
      </c>
      <c r="E60" s="5">
        <f t="shared" si="37"/>
        <v>5000</v>
      </c>
      <c r="F60" s="5">
        <f t="shared" si="37"/>
        <v>5000</v>
      </c>
      <c r="G60" s="1">
        <f t="shared" si="37"/>
        <v>5000</v>
      </c>
      <c r="H60" s="58">
        <f t="shared" si="37"/>
        <v>5000</v>
      </c>
      <c r="I60" s="1">
        <f t="shared" si="37"/>
        <v>0</v>
      </c>
      <c r="J60" s="1">
        <f t="shared" si="37"/>
        <v>0</v>
      </c>
      <c r="K60" s="1">
        <f t="shared" si="37"/>
        <v>0</v>
      </c>
      <c r="L60" s="1">
        <f t="shared" si="37"/>
        <v>0</v>
      </c>
      <c r="M60" s="1">
        <f t="shared" si="37"/>
        <v>0</v>
      </c>
      <c r="N60" s="1">
        <f t="shared" si="35"/>
        <v>35000</v>
      </c>
      <c r="P60" s="1">
        <f t="shared" si="3"/>
        <v>3181.818181818182</v>
      </c>
      <c r="Q60" s="1">
        <f t="shared" si="4"/>
        <v>-3181.818181818182</v>
      </c>
    </row>
    <row r="61" spans="1:17" x14ac:dyDescent="0.25">
      <c r="A61" s="114" t="s">
        <v>48</v>
      </c>
      <c r="B61" s="5">
        <f>B173+B177+B178+B172+B174</f>
        <v>15314.77</v>
      </c>
      <c r="C61" s="5">
        <f>C173+C177+C178+C172+C174</f>
        <v>24623.15</v>
      </c>
      <c r="D61" s="5">
        <f t="shared" ref="D61:M61" si="38">D173+D177+D178+D172+D174</f>
        <v>20393.25</v>
      </c>
      <c r="E61" s="5">
        <f t="shared" si="38"/>
        <v>17847.68</v>
      </c>
      <c r="F61" s="5">
        <f t="shared" si="38"/>
        <v>17603.449999999997</v>
      </c>
      <c r="G61" s="5">
        <f t="shared" si="38"/>
        <v>14073.55</v>
      </c>
      <c r="H61" s="5">
        <f t="shared" si="38"/>
        <v>12245.060000000001</v>
      </c>
      <c r="I61" s="5">
        <f t="shared" si="38"/>
        <v>0</v>
      </c>
      <c r="J61" s="5">
        <f t="shared" si="38"/>
        <v>0</v>
      </c>
      <c r="K61" s="5">
        <f t="shared" si="38"/>
        <v>0</v>
      </c>
      <c r="L61" s="5">
        <f t="shared" si="38"/>
        <v>0</v>
      </c>
      <c r="M61" s="5">
        <f t="shared" si="38"/>
        <v>0</v>
      </c>
      <c r="N61" s="1">
        <f t="shared" si="35"/>
        <v>122100.91</v>
      </c>
      <c r="P61" s="1">
        <f t="shared" si="3"/>
        <v>11100.082727272727</v>
      </c>
      <c r="Q61" s="1">
        <f t="shared" si="4"/>
        <v>-11100.082727272727</v>
      </c>
    </row>
    <row r="62" spans="1:17" x14ac:dyDescent="0.25">
      <c r="A62" s="114" t="s">
        <v>49</v>
      </c>
      <c r="B62" s="5">
        <f>B170</f>
        <v>28233.33</v>
      </c>
      <c r="C62" s="5">
        <f>C170</f>
        <v>28233.33</v>
      </c>
      <c r="D62" s="5">
        <f>D170</f>
        <v>28595.83</v>
      </c>
      <c r="E62" s="5">
        <f t="shared" ref="E62:J62" si="39">E170</f>
        <v>28233.33</v>
      </c>
      <c r="F62" s="5">
        <f>F170</f>
        <v>28233.33</v>
      </c>
      <c r="G62" s="1">
        <f t="shared" si="39"/>
        <v>7627.91</v>
      </c>
      <c r="H62" s="58">
        <f t="shared" si="39"/>
        <v>28233.33</v>
      </c>
      <c r="I62" s="1">
        <f t="shared" si="39"/>
        <v>0</v>
      </c>
      <c r="J62" s="1">
        <f t="shared" si="39"/>
        <v>0</v>
      </c>
      <c r="K62" s="1">
        <f>K170</f>
        <v>0</v>
      </c>
      <c r="L62" s="1">
        <f>L170</f>
        <v>0</v>
      </c>
      <c r="M62" s="1">
        <f>M170</f>
        <v>0</v>
      </c>
      <c r="N62" s="1">
        <f t="shared" si="35"/>
        <v>177390.39</v>
      </c>
      <c r="P62" s="1">
        <f t="shared" si="3"/>
        <v>16126.399090909092</v>
      </c>
      <c r="Q62" s="1">
        <f t="shared" si="4"/>
        <v>-16126.399090909092</v>
      </c>
    </row>
    <row r="63" spans="1:17" x14ac:dyDescent="0.25">
      <c r="A63" s="114" t="s">
        <v>50</v>
      </c>
      <c r="B63" s="1">
        <v>0</v>
      </c>
      <c r="C63" s="1">
        <v>0</v>
      </c>
      <c r="D63" s="1">
        <v>0</v>
      </c>
      <c r="E63" s="5">
        <v>0</v>
      </c>
      <c r="F63" s="5">
        <v>0</v>
      </c>
      <c r="G63" s="1">
        <v>0</v>
      </c>
      <c r="H63" s="58">
        <v>0</v>
      </c>
      <c r="I63" s="1"/>
      <c r="J63" s="1"/>
      <c r="K63" s="1"/>
      <c r="L63" s="1"/>
      <c r="M63" s="1"/>
      <c r="N63" s="1">
        <f t="shared" si="35"/>
        <v>0</v>
      </c>
      <c r="P63" s="1">
        <f t="shared" si="3"/>
        <v>0</v>
      </c>
      <c r="Q63" s="1">
        <f t="shared" si="4"/>
        <v>0</v>
      </c>
    </row>
    <row r="64" spans="1:17" x14ac:dyDescent="0.25">
      <c r="A64" s="114" t="s">
        <v>51</v>
      </c>
      <c r="B64" s="13">
        <f>B171</f>
        <v>0</v>
      </c>
      <c r="C64" s="13">
        <f>C171</f>
        <v>878</v>
      </c>
      <c r="D64" s="25">
        <f>D171</f>
        <v>0</v>
      </c>
      <c r="E64" s="1">
        <f t="shared" ref="E64:K64" si="40">E171</f>
        <v>0</v>
      </c>
      <c r="F64" s="1">
        <f>F171</f>
        <v>620</v>
      </c>
      <c r="G64" s="1">
        <f t="shared" si="40"/>
        <v>0</v>
      </c>
      <c r="H64" s="58">
        <f t="shared" si="40"/>
        <v>12</v>
      </c>
      <c r="I64" s="1">
        <f t="shared" si="40"/>
        <v>0</v>
      </c>
      <c r="J64" s="1">
        <f t="shared" si="40"/>
        <v>0</v>
      </c>
      <c r="K64" s="1">
        <f t="shared" si="40"/>
        <v>0</v>
      </c>
      <c r="L64" s="1">
        <f>L171</f>
        <v>0</v>
      </c>
      <c r="M64" s="1">
        <f>M171</f>
        <v>0</v>
      </c>
      <c r="N64" s="1">
        <f t="shared" si="35"/>
        <v>1510</v>
      </c>
      <c r="P64" s="1">
        <f t="shared" si="3"/>
        <v>137.27272727272728</v>
      </c>
      <c r="Q64" s="1">
        <f t="shared" si="4"/>
        <v>-137.27272727272728</v>
      </c>
    </row>
    <row r="65" spans="1:17" x14ac:dyDescent="0.25">
      <c r="A65" s="114" t="s">
        <v>52</v>
      </c>
      <c r="B65" s="26">
        <f>SUM(B57:B64)</f>
        <v>268157</v>
      </c>
      <c r="C65" s="26">
        <f t="shared" ref="C65:M65" si="41">SUM(C57:C64)</f>
        <v>300130.76000000007</v>
      </c>
      <c r="D65" s="13">
        <f t="shared" si="41"/>
        <v>223363.31</v>
      </c>
      <c r="E65" s="26">
        <f t="shared" si="41"/>
        <v>159754.22999999998</v>
      </c>
      <c r="F65" s="26">
        <f t="shared" si="41"/>
        <v>169083.66000000003</v>
      </c>
      <c r="G65" s="26">
        <f t="shared" si="41"/>
        <v>99118.21</v>
      </c>
      <c r="H65" s="26">
        <f t="shared" si="41"/>
        <v>208661.74</v>
      </c>
      <c r="I65" s="26">
        <f t="shared" si="41"/>
        <v>0</v>
      </c>
      <c r="J65" s="26">
        <f t="shared" si="41"/>
        <v>0</v>
      </c>
      <c r="K65" s="26">
        <f t="shared" si="41"/>
        <v>0</v>
      </c>
      <c r="L65" s="26">
        <f t="shared" si="41"/>
        <v>0</v>
      </c>
      <c r="M65" s="26">
        <f t="shared" si="41"/>
        <v>0</v>
      </c>
      <c r="N65" s="26">
        <f>SUM(N57:N64)</f>
        <v>1428268.9099999997</v>
      </c>
      <c r="P65" s="26">
        <f t="shared" si="3"/>
        <v>129842.62818181816</v>
      </c>
      <c r="Q65" s="26">
        <f t="shared" si="4"/>
        <v>-129842.62818181816</v>
      </c>
    </row>
    <row r="66" spans="1:17" x14ac:dyDescent="0.25">
      <c r="A66" s="114" t="s">
        <v>53</v>
      </c>
      <c r="B66" s="27">
        <f>+B55-B65</f>
        <v>-179885.99</v>
      </c>
      <c r="C66" s="27">
        <f t="shared" ref="C66:N66" si="42">+C55-C65</f>
        <v>-185059.40000000008</v>
      </c>
      <c r="D66" s="27">
        <f t="shared" si="42"/>
        <v>-107826.16</v>
      </c>
      <c r="E66" s="27">
        <f t="shared" si="42"/>
        <v>-112146.59999999998</v>
      </c>
      <c r="F66" s="27">
        <f t="shared" si="42"/>
        <v>-89126.310000000027</v>
      </c>
      <c r="G66" s="27">
        <f t="shared" si="42"/>
        <v>-46955.010000000009</v>
      </c>
      <c r="H66" s="27">
        <f t="shared" si="42"/>
        <v>-89108.409999999989</v>
      </c>
      <c r="I66" s="27">
        <f t="shared" si="42"/>
        <v>0</v>
      </c>
      <c r="J66" s="27">
        <f t="shared" si="42"/>
        <v>0</v>
      </c>
      <c r="K66" s="27">
        <f t="shared" si="42"/>
        <v>0</v>
      </c>
      <c r="L66" s="27">
        <f t="shared" si="42"/>
        <v>0</v>
      </c>
      <c r="M66" s="27">
        <f t="shared" si="42"/>
        <v>0</v>
      </c>
      <c r="N66" s="27">
        <f t="shared" si="42"/>
        <v>-810107.87999999966</v>
      </c>
      <c r="P66" s="27">
        <f t="shared" si="3"/>
        <v>-73646.170909090884</v>
      </c>
      <c r="Q66" s="27">
        <f t="shared" si="4"/>
        <v>73646.170909090884</v>
      </c>
    </row>
    <row r="67" spans="1:17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1"/>
      <c r="P67" s="11">
        <f t="shared" si="3"/>
        <v>0</v>
      </c>
      <c r="Q67" s="11">
        <f t="shared" si="4"/>
        <v>0</v>
      </c>
    </row>
    <row r="68" spans="1:17" x14ac:dyDescent="0.25">
      <c r="A68" s="114" t="s">
        <v>54</v>
      </c>
      <c r="B68" s="5">
        <f t="shared" ref="B68:G68" si="43">B199</f>
        <v>405193.11</v>
      </c>
      <c r="C68" s="5">
        <f t="shared" si="43"/>
        <v>341937.99000000005</v>
      </c>
      <c r="D68" s="5">
        <f t="shared" si="43"/>
        <v>343625.55</v>
      </c>
      <c r="E68" s="5">
        <f t="shared" si="43"/>
        <v>353871.56</v>
      </c>
      <c r="F68" s="5">
        <f t="shared" si="43"/>
        <v>420339.36000000004</v>
      </c>
      <c r="G68" s="1">
        <f t="shared" si="43"/>
        <v>403802.07</v>
      </c>
      <c r="H68" s="58">
        <f t="shared" ref="H68" si="44">H199</f>
        <v>404965.73</v>
      </c>
      <c r="I68" s="1">
        <f>I199</f>
        <v>0</v>
      </c>
      <c r="J68" s="1">
        <f>J199</f>
        <v>0</v>
      </c>
      <c r="K68" s="1">
        <f>K199</f>
        <v>0</v>
      </c>
      <c r="L68" s="1">
        <f>L199</f>
        <v>0</v>
      </c>
      <c r="M68" s="1">
        <f>M199</f>
        <v>0</v>
      </c>
      <c r="N68" s="1">
        <f>SUM(B68:M68)</f>
        <v>2673735.37</v>
      </c>
      <c r="P68" s="1">
        <f t="shared" si="3"/>
        <v>243066.85181818184</v>
      </c>
      <c r="Q68" s="1">
        <f t="shared" si="4"/>
        <v>-243066.85181818184</v>
      </c>
    </row>
    <row r="69" spans="1:17" x14ac:dyDescent="0.25">
      <c r="A69" s="114" t="s">
        <v>55</v>
      </c>
      <c r="B69" s="5">
        <f t="shared" ref="B69:G69" si="45">B218</f>
        <v>196640.18</v>
      </c>
      <c r="C69" s="5">
        <f t="shared" si="45"/>
        <v>189381.89</v>
      </c>
      <c r="D69" s="5">
        <f t="shared" si="45"/>
        <v>195764.02000000002</v>
      </c>
      <c r="E69" s="5">
        <f t="shared" si="45"/>
        <v>187712.74</v>
      </c>
      <c r="F69" s="5">
        <f t="shared" si="45"/>
        <v>186399.78</v>
      </c>
      <c r="G69" s="1">
        <f t="shared" si="45"/>
        <v>206284.2</v>
      </c>
      <c r="H69" s="58">
        <f t="shared" ref="H69" si="46">H218</f>
        <v>214608.83</v>
      </c>
      <c r="I69" s="1">
        <f>I218</f>
        <v>0</v>
      </c>
      <c r="J69" s="1">
        <f>J218</f>
        <v>0</v>
      </c>
      <c r="K69" s="1">
        <f>K218</f>
        <v>0</v>
      </c>
      <c r="L69" s="1">
        <f>L218</f>
        <v>0</v>
      </c>
      <c r="M69" s="1">
        <f>M218</f>
        <v>0</v>
      </c>
      <c r="N69" s="1">
        <f>SUM(B69:M69)</f>
        <v>1376791.6400000001</v>
      </c>
      <c r="P69" s="1">
        <f t="shared" si="3"/>
        <v>125162.87636363637</v>
      </c>
      <c r="Q69" s="1">
        <f t="shared" si="4"/>
        <v>-125162.87636363637</v>
      </c>
    </row>
    <row r="70" spans="1:17" x14ac:dyDescent="0.25">
      <c r="A70" s="114" t="s">
        <v>56</v>
      </c>
      <c r="B70" s="5">
        <f t="shared" ref="B70:G70" si="47">B249</f>
        <v>111240.83</v>
      </c>
      <c r="C70" s="5">
        <f t="shared" si="47"/>
        <v>91232.06</v>
      </c>
      <c r="D70" s="5">
        <f t="shared" si="47"/>
        <v>94277.48000000001</v>
      </c>
      <c r="E70" s="5">
        <f t="shared" si="47"/>
        <v>88611.98000000001</v>
      </c>
      <c r="F70" s="5">
        <f t="shared" si="47"/>
        <v>89444.540000000008</v>
      </c>
      <c r="G70" s="1">
        <f t="shared" si="47"/>
        <v>103146.35</v>
      </c>
      <c r="H70" s="58">
        <f t="shared" ref="H70" si="48">H249</f>
        <v>118506.03</v>
      </c>
      <c r="I70" s="1">
        <f>I249</f>
        <v>0</v>
      </c>
      <c r="J70" s="1">
        <f>J249</f>
        <v>0</v>
      </c>
      <c r="K70" s="1">
        <f>K249</f>
        <v>0</v>
      </c>
      <c r="L70" s="1">
        <f>L249</f>
        <v>0</v>
      </c>
      <c r="M70" s="1">
        <f>M249</f>
        <v>0</v>
      </c>
      <c r="N70" s="1">
        <f>SUM(B70:M70)</f>
        <v>696459.27</v>
      </c>
      <c r="P70" s="1">
        <f t="shared" ref="P70:P133" si="49">(N70-M70)/11</f>
        <v>63314.479090909095</v>
      </c>
      <c r="Q70" s="1">
        <f t="shared" ref="Q70:Q133" si="50">M70-P70</f>
        <v>-63314.479090909095</v>
      </c>
    </row>
    <row r="71" spans="1:17" x14ac:dyDescent="0.25">
      <c r="A71" s="114" t="s">
        <v>57</v>
      </c>
      <c r="B71" s="13">
        <f t="shared" ref="B71:G71" si="51">-B264</f>
        <v>-81297.39</v>
      </c>
      <c r="C71" s="13">
        <f t="shared" si="51"/>
        <v>-60573.55</v>
      </c>
      <c r="D71" s="13">
        <f t="shared" si="51"/>
        <v>-54599.840000000004</v>
      </c>
      <c r="E71" s="12">
        <f t="shared" si="51"/>
        <v>-82044.150000000009</v>
      </c>
      <c r="F71" s="12">
        <f t="shared" si="51"/>
        <v>-105834.51000000001</v>
      </c>
      <c r="G71" s="12">
        <f t="shared" si="51"/>
        <v>-92499.849999999991</v>
      </c>
      <c r="H71" s="58">
        <f t="shared" ref="H71" si="52">-H264</f>
        <v>-94568.209999999992</v>
      </c>
      <c r="I71" s="1">
        <f>-I264</f>
        <v>0</v>
      </c>
      <c r="J71" s="1">
        <f>-J264</f>
        <v>0</v>
      </c>
      <c r="K71" s="1">
        <f>-K264</f>
        <v>0</v>
      </c>
      <c r="L71" s="1">
        <f>-L264</f>
        <v>0</v>
      </c>
      <c r="M71" s="1">
        <f>-M264</f>
        <v>0</v>
      </c>
      <c r="N71" s="1">
        <f>SUM(B71:M71)</f>
        <v>-571417.5</v>
      </c>
      <c r="P71" s="1">
        <f t="shared" si="49"/>
        <v>-51947.045454545456</v>
      </c>
      <c r="Q71" s="1">
        <f t="shared" si="50"/>
        <v>51947.045454545456</v>
      </c>
    </row>
    <row r="72" spans="1:17" x14ac:dyDescent="0.25">
      <c r="A72" s="114" t="s">
        <v>58</v>
      </c>
      <c r="B72" s="13">
        <f>B125</f>
        <v>-3595.4</v>
      </c>
      <c r="C72" s="13">
        <f>C125</f>
        <v>-2471.31</v>
      </c>
      <c r="D72" s="13">
        <f>D125</f>
        <v>-4621.22</v>
      </c>
      <c r="E72" s="12">
        <f t="shared" ref="E72:J72" si="53">E125</f>
        <v>-5799.91</v>
      </c>
      <c r="F72" s="12">
        <f>F125</f>
        <v>-1360.64</v>
      </c>
      <c r="G72" s="12">
        <f t="shared" si="53"/>
        <v>-1536.21</v>
      </c>
      <c r="H72" s="58">
        <f t="shared" si="53"/>
        <v>-2242.15</v>
      </c>
      <c r="I72" s="1">
        <f t="shared" si="53"/>
        <v>0</v>
      </c>
      <c r="J72" s="1">
        <f t="shared" si="53"/>
        <v>0</v>
      </c>
      <c r="K72" s="1">
        <f>K125</f>
        <v>0</v>
      </c>
      <c r="L72" s="1">
        <f>L125</f>
        <v>0</v>
      </c>
      <c r="M72" s="1">
        <f>M125</f>
        <v>0</v>
      </c>
      <c r="N72" s="1">
        <f>SUM(B72:M72)</f>
        <v>-21626.84</v>
      </c>
      <c r="P72" s="1">
        <f t="shared" si="49"/>
        <v>-1966.0763636363636</v>
      </c>
      <c r="Q72" s="1">
        <f t="shared" si="50"/>
        <v>1966.0763636363636</v>
      </c>
    </row>
    <row r="73" spans="1:17" x14ac:dyDescent="0.25">
      <c r="A73" s="114" t="s">
        <v>59</v>
      </c>
      <c r="B73" s="8">
        <f>SUM(B68:B72)</f>
        <v>628181.32999999996</v>
      </c>
      <c r="C73" s="8">
        <f>SUM(C68:C72)</f>
        <v>559507.08000000007</v>
      </c>
      <c r="D73" s="8">
        <f t="shared" ref="D73:L73" si="54">SUM(D68:D72)</f>
        <v>574445.99000000011</v>
      </c>
      <c r="E73" s="8">
        <f>SUM(E68:E72)</f>
        <v>542352.22</v>
      </c>
      <c r="F73" s="8">
        <f t="shared" si="54"/>
        <v>588988.53</v>
      </c>
      <c r="G73" s="8">
        <f t="shared" si="54"/>
        <v>619196.56000000006</v>
      </c>
      <c r="H73" s="8">
        <f>SUM(H68:H72)</f>
        <v>641270.23</v>
      </c>
      <c r="I73" s="8">
        <f t="shared" si="54"/>
        <v>0</v>
      </c>
      <c r="J73" s="8">
        <f t="shared" si="54"/>
        <v>0</v>
      </c>
      <c r="K73" s="8">
        <f t="shared" si="54"/>
        <v>0</v>
      </c>
      <c r="L73" s="8">
        <f t="shared" si="54"/>
        <v>0</v>
      </c>
      <c r="M73" s="8">
        <f>SUM(M68:M72)</f>
        <v>0</v>
      </c>
      <c r="N73" s="8">
        <f>SUM(N68:N72)</f>
        <v>4153941.9400000004</v>
      </c>
      <c r="P73" s="8">
        <f t="shared" si="49"/>
        <v>377631.08545454551</v>
      </c>
      <c r="Q73" s="8">
        <f t="shared" si="50"/>
        <v>-377631.08545454551</v>
      </c>
    </row>
    <row r="74" spans="1:17" ht="27" customHeight="1" thickBot="1" x14ac:dyDescent="0.3">
      <c r="A74" s="116" t="s">
        <v>60</v>
      </c>
      <c r="B74" s="15">
        <f t="shared" ref="B74:M74" si="55">+B35+B66-B73</f>
        <v>65733.430000119261</v>
      </c>
      <c r="C74" s="15">
        <f t="shared" si="55"/>
        <v>62568.989999789977</v>
      </c>
      <c r="D74" s="15">
        <f t="shared" si="55"/>
        <v>190852.60999993072</v>
      </c>
      <c r="E74" s="15">
        <f t="shared" si="55"/>
        <v>-70572.120000041672</v>
      </c>
      <c r="F74" s="15">
        <f>+F35+F66-F73</f>
        <v>-203742.99999999651</v>
      </c>
      <c r="G74" s="15">
        <f t="shared" si="55"/>
        <v>-88358.510000057286</v>
      </c>
      <c r="H74" s="15">
        <f t="shared" si="55"/>
        <v>-303625.03999997611</v>
      </c>
      <c r="I74" s="15">
        <f t="shared" si="55"/>
        <v>0</v>
      </c>
      <c r="J74" s="15">
        <f t="shared" si="55"/>
        <v>0</v>
      </c>
      <c r="K74" s="15">
        <f t="shared" si="55"/>
        <v>0</v>
      </c>
      <c r="L74" s="15">
        <f t="shared" si="55"/>
        <v>0</v>
      </c>
      <c r="M74" s="15">
        <f t="shared" si="55"/>
        <v>0</v>
      </c>
      <c r="N74" s="15">
        <f>+N35+N66-N73</f>
        <v>-347143.63999969512</v>
      </c>
      <c r="P74" s="15">
        <f t="shared" si="49"/>
        <v>-31558.512727245012</v>
      </c>
      <c r="Q74" s="15">
        <f t="shared" si="50"/>
        <v>31558.512727245012</v>
      </c>
    </row>
    <row r="75" spans="1:17" ht="15.75" thickTop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2">
        <f t="shared" si="49"/>
        <v>0</v>
      </c>
      <c r="Q75" s="2">
        <f t="shared" si="50"/>
        <v>0</v>
      </c>
    </row>
    <row r="76" spans="1:17" x14ac:dyDescent="0.25">
      <c r="A76" s="114" t="s">
        <v>61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>
        <v>48009.17</v>
      </c>
      <c r="P76" s="2">
        <f t="shared" si="49"/>
        <v>4364.47</v>
      </c>
      <c r="Q76" s="2">
        <f t="shared" si="50"/>
        <v>-4364.47</v>
      </c>
    </row>
    <row r="77" spans="1:17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>
        <f>N74-N76</f>
        <v>-395152.80999969511</v>
      </c>
      <c r="P77" s="1">
        <f t="shared" si="49"/>
        <v>-35922.982727245013</v>
      </c>
      <c r="Q77" s="1">
        <f t="shared" si="50"/>
        <v>35922.982727245013</v>
      </c>
    </row>
    <row r="78" spans="1:17" hidden="1" x14ac:dyDescent="0.25">
      <c r="B78" s="1">
        <f t="shared" ref="B78:K78" si="56">+B74-B77</f>
        <v>65733.430000119261</v>
      </c>
      <c r="C78" s="1">
        <f t="shared" si="56"/>
        <v>62568.989999789977</v>
      </c>
      <c r="D78" s="1">
        <f t="shared" si="56"/>
        <v>190852.60999993072</v>
      </c>
      <c r="E78" s="1">
        <f t="shared" si="56"/>
        <v>-70572.120000041672</v>
      </c>
      <c r="F78" s="1">
        <f t="shared" si="56"/>
        <v>-203742.99999999651</v>
      </c>
      <c r="G78" s="1">
        <f t="shared" si="56"/>
        <v>-88358.510000057286</v>
      </c>
      <c r="H78" s="1">
        <f t="shared" si="56"/>
        <v>-303625.03999997611</v>
      </c>
      <c r="I78" s="1">
        <f t="shared" si="56"/>
        <v>0</v>
      </c>
      <c r="J78" s="1">
        <f t="shared" si="56"/>
        <v>0</v>
      </c>
      <c r="K78" s="1">
        <f t="shared" si="56"/>
        <v>0</v>
      </c>
      <c r="L78" s="1">
        <v>0</v>
      </c>
      <c r="M78" s="1"/>
      <c r="N78" s="1">
        <v>0</v>
      </c>
      <c r="P78" s="1">
        <f t="shared" si="49"/>
        <v>0</v>
      </c>
      <c r="Q78" s="1">
        <f t="shared" si="50"/>
        <v>0</v>
      </c>
    </row>
    <row r="79" spans="1:17" ht="15.75" thickBot="1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P79" s="2">
        <f t="shared" si="49"/>
        <v>0</v>
      </c>
      <c r="Q79" s="2">
        <f t="shared" si="50"/>
        <v>0</v>
      </c>
    </row>
    <row r="80" spans="1:17" x14ac:dyDescent="0.25">
      <c r="A80" s="119" t="s">
        <v>62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9"/>
      <c r="P80" s="29">
        <f t="shared" si="49"/>
        <v>0</v>
      </c>
      <c r="Q80" s="29">
        <f t="shared" si="50"/>
        <v>0</v>
      </c>
    </row>
    <row r="81" spans="1:17" x14ac:dyDescent="0.25">
      <c r="A81" s="120" t="s">
        <v>39</v>
      </c>
      <c r="B81" s="6">
        <f t="shared" ref="B81:E82" si="57">+B51</f>
        <v>0</v>
      </c>
      <c r="C81" s="6">
        <f t="shared" si="57"/>
        <v>0</v>
      </c>
      <c r="D81" s="6">
        <f t="shared" si="57"/>
        <v>0</v>
      </c>
      <c r="E81" s="6">
        <f t="shared" si="57"/>
        <v>0</v>
      </c>
      <c r="F81" s="6">
        <f>F102</f>
        <v>0</v>
      </c>
      <c r="G81" s="6">
        <f t="shared" ref="G81:M82" si="58">+G51</f>
        <v>0</v>
      </c>
      <c r="H81" s="6">
        <f t="shared" si="58"/>
        <v>0</v>
      </c>
      <c r="I81" s="6">
        <f t="shared" si="58"/>
        <v>0</v>
      </c>
      <c r="J81" s="6">
        <f t="shared" si="58"/>
        <v>0</v>
      </c>
      <c r="K81" s="6">
        <f t="shared" si="58"/>
        <v>0</v>
      </c>
      <c r="L81" s="6">
        <f t="shared" si="58"/>
        <v>0</v>
      </c>
      <c r="M81" s="6">
        <f t="shared" si="58"/>
        <v>0</v>
      </c>
      <c r="N81" s="30">
        <f>SUM(B81:M81)</f>
        <v>0</v>
      </c>
      <c r="P81" s="30">
        <f t="shared" si="49"/>
        <v>0</v>
      </c>
      <c r="Q81" s="30">
        <f t="shared" si="50"/>
        <v>0</v>
      </c>
    </row>
    <row r="82" spans="1:17" x14ac:dyDescent="0.25">
      <c r="A82" s="120" t="s">
        <v>63</v>
      </c>
      <c r="B82" s="6">
        <f t="shared" si="57"/>
        <v>44174.48</v>
      </c>
      <c r="C82" s="6">
        <f t="shared" si="57"/>
        <v>37026.959999999999</v>
      </c>
      <c r="D82" s="6">
        <f t="shared" si="57"/>
        <v>50952.97</v>
      </c>
      <c r="E82" s="6">
        <f t="shared" si="57"/>
        <v>17383</v>
      </c>
      <c r="F82" s="6">
        <f>F108+F119</f>
        <v>6537.5</v>
      </c>
      <c r="G82" s="6">
        <f t="shared" si="58"/>
        <v>12690.5</v>
      </c>
      <c r="H82" s="6">
        <f t="shared" si="58"/>
        <v>14136.99</v>
      </c>
      <c r="I82" s="6">
        <f t="shared" si="58"/>
        <v>0</v>
      </c>
      <c r="J82" s="6">
        <f t="shared" si="58"/>
        <v>0</v>
      </c>
      <c r="K82" s="6">
        <f t="shared" si="58"/>
        <v>0</v>
      </c>
      <c r="L82" s="6">
        <f t="shared" si="58"/>
        <v>0</v>
      </c>
      <c r="M82" s="6">
        <f t="shared" si="58"/>
        <v>0</v>
      </c>
      <c r="N82" s="30">
        <f>SUM(B82:M82)</f>
        <v>182902.39999999999</v>
      </c>
      <c r="P82" s="30">
        <f t="shared" si="49"/>
        <v>16627.49090909091</v>
      </c>
      <c r="Q82" s="30">
        <f t="shared" si="50"/>
        <v>-16627.49090909091</v>
      </c>
    </row>
    <row r="83" spans="1:17" x14ac:dyDescent="0.25">
      <c r="A83" s="120" t="s">
        <v>64</v>
      </c>
      <c r="B83" s="8">
        <f>SUM(B81:B82)</f>
        <v>44174.48</v>
      </c>
      <c r="C83" s="8">
        <f t="shared" ref="C83:J83" si="59">SUM(C81:C82)</f>
        <v>37026.959999999999</v>
      </c>
      <c r="D83" s="8">
        <f t="shared" si="59"/>
        <v>50952.97</v>
      </c>
      <c r="E83" s="8">
        <f t="shared" si="59"/>
        <v>17383</v>
      </c>
      <c r="F83" s="8">
        <f t="shared" si="59"/>
        <v>6537.5</v>
      </c>
      <c r="G83" s="8">
        <f t="shared" si="59"/>
        <v>12690.5</v>
      </c>
      <c r="H83" s="8">
        <f t="shared" si="59"/>
        <v>14136.99</v>
      </c>
      <c r="I83" s="8">
        <f t="shared" si="59"/>
        <v>0</v>
      </c>
      <c r="J83" s="8">
        <f t="shared" si="59"/>
        <v>0</v>
      </c>
      <c r="K83" s="8">
        <f>SUM(K81:K82)</f>
        <v>0</v>
      </c>
      <c r="L83" s="8">
        <f>SUM(L81:L82)</f>
        <v>0</v>
      </c>
      <c r="M83" s="8">
        <f>SUM(M81:M82)</f>
        <v>0</v>
      </c>
      <c r="N83" s="31">
        <f>SUM(N81:N82)</f>
        <v>182902.39999999999</v>
      </c>
      <c r="P83" s="31">
        <f t="shared" si="49"/>
        <v>16627.49090909091</v>
      </c>
      <c r="Q83" s="31">
        <f t="shared" si="50"/>
        <v>-16627.49090909091</v>
      </c>
    </row>
    <row r="84" spans="1:17" x14ac:dyDescent="0.25">
      <c r="A84" s="120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32"/>
      <c r="P84" s="32">
        <f t="shared" si="49"/>
        <v>0</v>
      </c>
      <c r="Q84" s="32">
        <f t="shared" si="50"/>
        <v>0</v>
      </c>
    </row>
    <row r="85" spans="1:17" x14ac:dyDescent="0.25">
      <c r="A85" s="120" t="s">
        <v>65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32"/>
      <c r="P85" s="32">
        <f t="shared" si="49"/>
        <v>0</v>
      </c>
      <c r="Q85" s="32">
        <f t="shared" si="50"/>
        <v>0</v>
      </c>
    </row>
    <row r="86" spans="1:17" x14ac:dyDescent="0.25">
      <c r="A86" s="120" t="s">
        <v>66</v>
      </c>
      <c r="B86" s="6">
        <f>+B57</f>
        <v>0</v>
      </c>
      <c r="C86" s="6">
        <f>+C57</f>
        <v>0</v>
      </c>
      <c r="D86" s="6">
        <f>+D57</f>
        <v>0</v>
      </c>
      <c r="E86" s="6">
        <f>+E57</f>
        <v>0</v>
      </c>
      <c r="F86" s="6">
        <f>F126</f>
        <v>0</v>
      </c>
      <c r="G86" s="6">
        <f t="shared" ref="G86:M86" si="60">+G57</f>
        <v>0</v>
      </c>
      <c r="H86" s="6">
        <f t="shared" si="60"/>
        <v>0</v>
      </c>
      <c r="I86" s="6">
        <f t="shared" si="60"/>
        <v>0</v>
      </c>
      <c r="J86" s="6">
        <f t="shared" si="60"/>
        <v>0</v>
      </c>
      <c r="K86" s="6">
        <f t="shared" si="60"/>
        <v>0</v>
      </c>
      <c r="L86" s="6">
        <f t="shared" si="60"/>
        <v>0</v>
      </c>
      <c r="M86" s="6">
        <f t="shared" si="60"/>
        <v>0</v>
      </c>
      <c r="N86" s="30">
        <f>SUM(B86:M86)</f>
        <v>0</v>
      </c>
      <c r="P86" s="30">
        <f t="shared" si="49"/>
        <v>0</v>
      </c>
      <c r="Q86" s="30">
        <f t="shared" si="50"/>
        <v>0</v>
      </c>
    </row>
    <row r="87" spans="1:17" x14ac:dyDescent="0.25">
      <c r="A87" s="120" t="s">
        <v>67</v>
      </c>
      <c r="B87" s="6">
        <f t="shared" ref="B87:G87" si="61">B132</f>
        <v>47744.73</v>
      </c>
      <c r="C87" s="6">
        <f t="shared" si="61"/>
        <v>40318.61</v>
      </c>
      <c r="D87" s="6">
        <f t="shared" si="61"/>
        <v>53566.29</v>
      </c>
      <c r="E87" s="6">
        <f t="shared" si="61"/>
        <v>-3427.84</v>
      </c>
      <c r="F87" s="6">
        <f t="shared" si="61"/>
        <v>5808.03</v>
      </c>
      <c r="G87" s="6">
        <f t="shared" si="61"/>
        <v>11225.63</v>
      </c>
      <c r="H87" s="6">
        <f>+H58</f>
        <v>20530.47</v>
      </c>
      <c r="I87" s="6">
        <f>+I58</f>
        <v>0</v>
      </c>
      <c r="J87" s="6">
        <f>+J58</f>
        <v>0</v>
      </c>
      <c r="K87" s="6">
        <f>+K58</f>
        <v>0</v>
      </c>
      <c r="L87" s="6">
        <f>+L58</f>
        <v>0</v>
      </c>
      <c r="M87" s="6"/>
      <c r="N87" s="30">
        <f>SUM(B87:M87)</f>
        <v>175765.92</v>
      </c>
      <c r="P87" s="30">
        <f t="shared" si="49"/>
        <v>15978.720000000001</v>
      </c>
      <c r="Q87" s="30">
        <f t="shared" si="50"/>
        <v>-15978.720000000001</v>
      </c>
    </row>
    <row r="88" spans="1:17" x14ac:dyDescent="0.25">
      <c r="A88" s="120" t="s">
        <v>68</v>
      </c>
      <c r="B88" s="6">
        <f t="shared" ref="B88:L88" si="62">B164</f>
        <v>0</v>
      </c>
      <c r="C88" s="6">
        <f t="shared" si="62"/>
        <v>800</v>
      </c>
      <c r="D88" s="6">
        <f t="shared" si="62"/>
        <v>0</v>
      </c>
      <c r="E88" s="6">
        <f t="shared" si="62"/>
        <v>0</v>
      </c>
      <c r="F88" s="6">
        <f t="shared" si="62"/>
        <v>0</v>
      </c>
      <c r="G88" s="6">
        <f t="shared" si="62"/>
        <v>0</v>
      </c>
      <c r="H88" s="6">
        <f t="shared" si="62"/>
        <v>0</v>
      </c>
      <c r="I88" s="6">
        <f t="shared" si="62"/>
        <v>0</v>
      </c>
      <c r="J88" s="6">
        <f t="shared" si="62"/>
        <v>0</v>
      </c>
      <c r="K88" s="6">
        <f t="shared" si="62"/>
        <v>0</v>
      </c>
      <c r="L88" s="6">
        <f t="shared" si="62"/>
        <v>0</v>
      </c>
      <c r="M88" s="6"/>
      <c r="N88" s="30">
        <f>SUM(B88:M88)</f>
        <v>800</v>
      </c>
      <c r="P88" s="30">
        <f t="shared" si="49"/>
        <v>72.727272727272734</v>
      </c>
      <c r="Q88" s="30">
        <f t="shared" si="50"/>
        <v>-72.727272727272734</v>
      </c>
    </row>
    <row r="89" spans="1:17" x14ac:dyDescent="0.25">
      <c r="A89" s="120" t="s">
        <v>69</v>
      </c>
      <c r="B89" s="6">
        <f>B176</f>
        <v>1.87</v>
      </c>
      <c r="C89" s="6">
        <f t="shared" ref="C89:M89" si="63">C176</f>
        <v>0</v>
      </c>
      <c r="D89" s="6">
        <f t="shared" si="63"/>
        <v>-115.12</v>
      </c>
      <c r="E89" s="6">
        <f t="shared" si="63"/>
        <v>3216.06</v>
      </c>
      <c r="F89" s="6">
        <f t="shared" si="63"/>
        <v>-2308</v>
      </c>
      <c r="G89" s="6">
        <f t="shared" si="63"/>
        <v>0</v>
      </c>
      <c r="H89" s="6">
        <f t="shared" si="63"/>
        <v>0</v>
      </c>
      <c r="I89" s="6">
        <f t="shared" si="63"/>
        <v>0</v>
      </c>
      <c r="J89" s="6">
        <f t="shared" si="63"/>
        <v>0</v>
      </c>
      <c r="K89" s="6">
        <f t="shared" si="63"/>
        <v>0</v>
      </c>
      <c r="L89" s="6">
        <f t="shared" si="63"/>
        <v>0</v>
      </c>
      <c r="M89" s="6">
        <f t="shared" si="63"/>
        <v>0</v>
      </c>
      <c r="N89" s="30">
        <f>SUM(B89:M89)</f>
        <v>794.81</v>
      </c>
      <c r="P89" s="30">
        <f t="shared" si="49"/>
        <v>72.25545454545454</v>
      </c>
      <c r="Q89" s="30">
        <f t="shared" si="50"/>
        <v>-72.25545454545454</v>
      </c>
    </row>
    <row r="90" spans="1:17" x14ac:dyDescent="0.25">
      <c r="A90" s="120" t="s">
        <v>70</v>
      </c>
      <c r="B90" s="6">
        <f>B64</f>
        <v>0</v>
      </c>
      <c r="C90" s="6">
        <f>C64</f>
        <v>878</v>
      </c>
      <c r="D90" s="6">
        <f>D64</f>
        <v>0</v>
      </c>
      <c r="E90" s="6">
        <f>E64</f>
        <v>0</v>
      </c>
      <c r="F90" s="6">
        <f>F171</f>
        <v>620</v>
      </c>
      <c r="G90" s="6">
        <f t="shared" ref="G90:M90" si="64">G64</f>
        <v>0</v>
      </c>
      <c r="H90" s="6">
        <f t="shared" si="64"/>
        <v>12</v>
      </c>
      <c r="I90" s="6">
        <f t="shared" si="64"/>
        <v>0</v>
      </c>
      <c r="J90" s="6">
        <f t="shared" si="64"/>
        <v>0</v>
      </c>
      <c r="K90" s="6">
        <f t="shared" si="64"/>
        <v>0</v>
      </c>
      <c r="L90" s="6">
        <f t="shared" si="64"/>
        <v>0</v>
      </c>
      <c r="M90" s="6">
        <f t="shared" si="64"/>
        <v>0</v>
      </c>
      <c r="N90" s="30">
        <f>SUM(B90:M90)</f>
        <v>1510</v>
      </c>
      <c r="P90" s="30">
        <f t="shared" si="49"/>
        <v>137.27272727272728</v>
      </c>
      <c r="Q90" s="30">
        <f t="shared" si="50"/>
        <v>-137.27272727272728</v>
      </c>
    </row>
    <row r="91" spans="1:17" x14ac:dyDescent="0.25">
      <c r="A91" s="120"/>
      <c r="B91" s="8">
        <f>SUM(B86:B90)</f>
        <v>47746.600000000006</v>
      </c>
      <c r="C91" s="8">
        <f t="shared" ref="C91:L91" si="65">SUM(C86:C90)</f>
        <v>41996.61</v>
      </c>
      <c r="D91" s="8">
        <f t="shared" si="65"/>
        <v>53451.17</v>
      </c>
      <c r="E91" s="8">
        <f t="shared" si="65"/>
        <v>-211.7800000000002</v>
      </c>
      <c r="F91" s="8">
        <f t="shared" si="65"/>
        <v>4120.03</v>
      </c>
      <c r="G91" s="8">
        <f t="shared" si="65"/>
        <v>11225.63</v>
      </c>
      <c r="H91" s="8">
        <f t="shared" si="65"/>
        <v>20542.47</v>
      </c>
      <c r="I91" s="8">
        <f t="shared" si="65"/>
        <v>0</v>
      </c>
      <c r="J91" s="8">
        <f t="shared" si="65"/>
        <v>0</v>
      </c>
      <c r="K91" s="8">
        <f t="shared" si="65"/>
        <v>0</v>
      </c>
      <c r="L91" s="8">
        <f t="shared" si="65"/>
        <v>0</v>
      </c>
      <c r="M91" s="8">
        <f>SUM(M86:M90)</f>
        <v>0</v>
      </c>
      <c r="N91" s="31">
        <f>SUM(N86:N90)</f>
        <v>178870.73</v>
      </c>
      <c r="P91" s="31">
        <f t="shared" si="49"/>
        <v>16260.975454545456</v>
      </c>
      <c r="Q91" s="31">
        <f t="shared" si="50"/>
        <v>-16260.975454545456</v>
      </c>
    </row>
    <row r="92" spans="1:17" ht="27" customHeight="1" thickBot="1" x14ac:dyDescent="0.3">
      <c r="A92" s="120"/>
      <c r="B92" s="33">
        <f>+B83-B91</f>
        <v>-3572.1200000000026</v>
      </c>
      <c r="C92" s="33">
        <f t="shared" ref="C92:L92" si="66">+C83-C91</f>
        <v>-4969.6500000000015</v>
      </c>
      <c r="D92" s="33">
        <f t="shared" si="66"/>
        <v>-2498.1999999999971</v>
      </c>
      <c r="E92" s="33">
        <f t="shared" si="66"/>
        <v>17594.78</v>
      </c>
      <c r="F92" s="33">
        <f t="shared" si="66"/>
        <v>2417.4700000000003</v>
      </c>
      <c r="G92" s="33">
        <f t="shared" si="66"/>
        <v>1464.8700000000008</v>
      </c>
      <c r="H92" s="33">
        <f t="shared" si="66"/>
        <v>-6405.4800000000014</v>
      </c>
      <c r="I92" s="33">
        <f t="shared" si="66"/>
        <v>0</v>
      </c>
      <c r="J92" s="33">
        <f t="shared" si="66"/>
        <v>0</v>
      </c>
      <c r="K92" s="33">
        <f t="shared" si="66"/>
        <v>0</v>
      </c>
      <c r="L92" s="33">
        <f t="shared" si="66"/>
        <v>0</v>
      </c>
      <c r="M92" s="33">
        <f>+M83-M91</f>
        <v>0</v>
      </c>
      <c r="N92" s="34">
        <f>+N83-N91</f>
        <v>4031.6699999999837</v>
      </c>
      <c r="P92" s="34">
        <f t="shared" si="49"/>
        <v>366.51545454545305</v>
      </c>
      <c r="Q92" s="34">
        <f t="shared" si="50"/>
        <v>-366.51545454545305</v>
      </c>
    </row>
    <row r="93" spans="1:17" ht="16.5" thickTop="1" thickBot="1" x14ac:dyDescent="0.3">
      <c r="A93" s="121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6"/>
      <c r="P93" s="36">
        <f t="shared" si="49"/>
        <v>0</v>
      </c>
      <c r="Q93" s="36">
        <f t="shared" si="50"/>
        <v>0</v>
      </c>
    </row>
    <row r="94" spans="1:17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2">
        <f t="shared" si="49"/>
        <v>0</v>
      </c>
      <c r="Q94" s="2">
        <f t="shared" si="50"/>
        <v>0</v>
      </c>
    </row>
    <row r="95" spans="1:17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2">
        <f t="shared" si="49"/>
        <v>0</v>
      </c>
      <c r="Q95" s="2">
        <f t="shared" si="50"/>
        <v>0</v>
      </c>
    </row>
    <row r="96" spans="1:17" s="17" customFormat="1" ht="30.75" customHeight="1" x14ac:dyDescent="0.25">
      <c r="A96" s="117" t="s">
        <v>71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1">
        <f>SUM(B96:M96)</f>
        <v>0</v>
      </c>
      <c r="P96" s="11">
        <f t="shared" si="49"/>
        <v>0</v>
      </c>
      <c r="Q96" s="11">
        <f t="shared" si="50"/>
        <v>0</v>
      </c>
    </row>
    <row r="97" spans="1:17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2">
        <f t="shared" si="49"/>
        <v>0</v>
      </c>
      <c r="Q97" s="2">
        <f t="shared" si="50"/>
        <v>0</v>
      </c>
    </row>
    <row r="98" spans="1:17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2">
        <f t="shared" si="49"/>
        <v>0</v>
      </c>
      <c r="Q98" s="2">
        <f t="shared" si="50"/>
        <v>0</v>
      </c>
    </row>
    <row r="99" spans="1:17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2">
        <f t="shared" si="49"/>
        <v>0</v>
      </c>
      <c r="Q99" s="2">
        <f t="shared" si="50"/>
        <v>0</v>
      </c>
    </row>
    <row r="100" spans="1:17" s="37" customFormat="1" ht="15.75" thickBot="1" x14ac:dyDescent="0.3">
      <c r="A100" s="122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P100" s="37">
        <f t="shared" si="49"/>
        <v>0</v>
      </c>
      <c r="Q100" s="37">
        <f t="shared" si="50"/>
        <v>0</v>
      </c>
    </row>
    <row r="101" spans="1:17" x14ac:dyDescent="0.25">
      <c r="A101" s="12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2">
        <f t="shared" si="49"/>
        <v>0</v>
      </c>
      <c r="Q101" s="2">
        <f t="shared" si="50"/>
        <v>0</v>
      </c>
    </row>
    <row r="102" spans="1:17" x14ac:dyDescent="0.25">
      <c r="A102" s="114" t="s">
        <v>72</v>
      </c>
      <c r="B102" s="1">
        <v>0</v>
      </c>
      <c r="C102" s="1">
        <v>0</v>
      </c>
      <c r="D102" s="1">
        <v>0</v>
      </c>
      <c r="E102" s="1"/>
      <c r="F102" s="1"/>
      <c r="G102" s="1">
        <v>0</v>
      </c>
      <c r="H102" s="58">
        <v>0</v>
      </c>
      <c r="I102" s="1"/>
      <c r="J102" s="1"/>
      <c r="K102" s="1"/>
      <c r="L102" s="1"/>
      <c r="M102" s="1"/>
      <c r="N102" s="1">
        <f t="shared" ref="N102:N122" si="67">SUM(B102:M102)</f>
        <v>0</v>
      </c>
      <c r="P102" s="1">
        <f t="shared" si="49"/>
        <v>0</v>
      </c>
      <c r="Q102" s="1">
        <f t="shared" si="50"/>
        <v>0</v>
      </c>
    </row>
    <row r="103" spans="1:17" x14ac:dyDescent="0.25">
      <c r="A103" s="114" t="s">
        <v>73</v>
      </c>
      <c r="B103" s="1">
        <v>154744703.27000001</v>
      </c>
      <c r="C103" s="1">
        <v>123954975.27</v>
      </c>
      <c r="D103" s="1">
        <v>101935013.19</v>
      </c>
      <c r="E103" s="1">
        <v>92863307.959999993</v>
      </c>
      <c r="F103" s="1">
        <v>94258757.019999996</v>
      </c>
      <c r="G103" s="1">
        <v>97605649.239999995</v>
      </c>
      <c r="H103" s="58">
        <v>123097958.22</v>
      </c>
      <c r="I103" s="1"/>
      <c r="J103" s="1"/>
      <c r="K103" s="1"/>
      <c r="L103" s="1"/>
      <c r="M103" s="1"/>
      <c r="N103" s="1">
        <f t="shared" si="67"/>
        <v>788460364.17000008</v>
      </c>
      <c r="P103" s="1">
        <f t="shared" si="49"/>
        <v>71678214.924545467</v>
      </c>
      <c r="Q103" s="1">
        <f t="shared" si="50"/>
        <v>-71678214.924545467</v>
      </c>
    </row>
    <row r="104" spans="1:17" x14ac:dyDescent="0.25">
      <c r="A104" s="114" t="s">
        <v>74</v>
      </c>
      <c r="B104" s="1">
        <v>474420383.94999999</v>
      </c>
      <c r="C104" s="1">
        <v>1272769788.22</v>
      </c>
      <c r="D104" s="1">
        <v>305526926.99000001</v>
      </c>
      <c r="E104" s="1">
        <v>46941731.32</v>
      </c>
      <c r="F104" s="1">
        <v>115118797.62</v>
      </c>
      <c r="G104" s="1">
        <v>261188870.69</v>
      </c>
      <c r="H104" s="58">
        <v>167224902.31999999</v>
      </c>
      <c r="I104" s="1"/>
      <c r="J104" s="1"/>
      <c r="K104" s="1"/>
      <c r="L104" s="1"/>
      <c r="M104" s="1"/>
      <c r="N104" s="1">
        <f t="shared" si="67"/>
        <v>2643191401.1100001</v>
      </c>
      <c r="P104" s="1">
        <f t="shared" si="49"/>
        <v>240290127.37363636</v>
      </c>
      <c r="Q104" s="1">
        <f t="shared" si="50"/>
        <v>-240290127.37363636</v>
      </c>
    </row>
    <row r="105" spans="1:17" x14ac:dyDescent="0.25">
      <c r="A105" s="114" t="s">
        <v>75</v>
      </c>
      <c r="B105" s="1">
        <v>2898099.37</v>
      </c>
      <c r="C105" s="1">
        <v>2610105.7200000002</v>
      </c>
      <c r="D105" s="1">
        <v>622399.88</v>
      </c>
      <c r="E105" s="1">
        <v>1945746.84</v>
      </c>
      <c r="F105" s="1">
        <v>1927944.8</v>
      </c>
      <c r="G105" s="1">
        <v>474866.98</v>
      </c>
      <c r="H105" s="58">
        <v>1059505.05</v>
      </c>
      <c r="I105" s="1"/>
      <c r="J105" s="1"/>
      <c r="K105" s="1"/>
      <c r="L105" s="1"/>
      <c r="M105" s="1"/>
      <c r="N105" s="1">
        <f t="shared" si="67"/>
        <v>11538668.640000001</v>
      </c>
      <c r="P105" s="1">
        <f t="shared" si="49"/>
        <v>1048969.8763636365</v>
      </c>
      <c r="Q105" s="1">
        <f t="shared" si="50"/>
        <v>-1048969.8763636365</v>
      </c>
    </row>
    <row r="106" spans="1:17" x14ac:dyDescent="0.25">
      <c r="A106" s="114" t="s">
        <v>76</v>
      </c>
      <c r="B106" s="1">
        <v>3238349</v>
      </c>
      <c r="C106" s="1">
        <v>1478660.42</v>
      </c>
      <c r="D106" s="1">
        <v>1427673</v>
      </c>
      <c r="E106" s="1">
        <v>2167697.4500000002</v>
      </c>
      <c r="F106" s="1">
        <v>847867.6</v>
      </c>
      <c r="G106" s="1">
        <v>844240.5</v>
      </c>
      <c r="H106" s="58">
        <v>518684.94</v>
      </c>
      <c r="I106" s="1"/>
      <c r="J106" s="1"/>
      <c r="K106" s="1"/>
      <c r="L106" s="1"/>
      <c r="M106" s="1"/>
      <c r="N106" s="1">
        <f t="shared" si="67"/>
        <v>10523172.91</v>
      </c>
      <c r="P106" s="1">
        <f t="shared" si="49"/>
        <v>956652.08272727276</v>
      </c>
      <c r="Q106" s="1">
        <f t="shared" si="50"/>
        <v>-956652.08272727276</v>
      </c>
    </row>
    <row r="107" spans="1:17" x14ac:dyDescent="0.25">
      <c r="A107" s="114" t="s">
        <v>77</v>
      </c>
      <c r="B107" s="1">
        <v>0</v>
      </c>
      <c r="C107" s="1">
        <v>0</v>
      </c>
      <c r="D107" s="1">
        <v>0</v>
      </c>
      <c r="E107" s="1">
        <v>0</v>
      </c>
      <c r="F107" s="1">
        <v>100</v>
      </c>
      <c r="G107" s="1">
        <v>0</v>
      </c>
      <c r="H107" s="58">
        <v>100</v>
      </c>
      <c r="I107" s="1"/>
      <c r="J107" s="1"/>
      <c r="K107" s="1"/>
      <c r="L107" s="1"/>
      <c r="M107" s="1"/>
      <c r="N107" s="1">
        <f t="shared" si="67"/>
        <v>200</v>
      </c>
      <c r="P107" s="1">
        <f t="shared" si="49"/>
        <v>18.181818181818183</v>
      </c>
      <c r="Q107" s="1">
        <f t="shared" si="50"/>
        <v>-18.181818181818183</v>
      </c>
    </row>
    <row r="108" spans="1:17" x14ac:dyDescent="0.25">
      <c r="A108" s="114" t="s">
        <v>78</v>
      </c>
      <c r="B108" s="1">
        <v>44174.48</v>
      </c>
      <c r="C108" s="1">
        <v>37026.959999999999</v>
      </c>
      <c r="D108" s="1">
        <v>50952.97</v>
      </c>
      <c r="E108" s="1">
        <v>17383</v>
      </c>
      <c r="F108" s="1">
        <v>6537.5</v>
      </c>
      <c r="G108" s="1">
        <v>12690.5</v>
      </c>
      <c r="H108" s="58">
        <v>14136.99</v>
      </c>
      <c r="I108" s="1"/>
      <c r="J108" s="1"/>
      <c r="K108" s="1"/>
      <c r="L108" s="1"/>
      <c r="M108" s="1"/>
      <c r="N108" s="1">
        <f t="shared" si="67"/>
        <v>182902.39999999999</v>
      </c>
      <c r="P108" s="1">
        <f t="shared" si="49"/>
        <v>16627.49090909091</v>
      </c>
      <c r="Q108" s="1">
        <f t="shared" si="50"/>
        <v>-16627.49090909091</v>
      </c>
    </row>
    <row r="109" spans="1:17" x14ac:dyDescent="0.25">
      <c r="A109" s="114" t="s">
        <v>79</v>
      </c>
      <c r="B109" s="1">
        <v>0</v>
      </c>
      <c r="C109" s="1">
        <v>40000</v>
      </c>
      <c r="D109" s="1">
        <v>0</v>
      </c>
      <c r="E109" s="1">
        <v>0</v>
      </c>
      <c r="F109" s="1">
        <v>0</v>
      </c>
      <c r="G109" s="1">
        <v>0</v>
      </c>
      <c r="H109" s="58">
        <v>10000</v>
      </c>
      <c r="I109" s="1"/>
      <c r="J109" s="1"/>
      <c r="K109" s="1"/>
      <c r="L109" s="1"/>
      <c r="M109" s="1"/>
      <c r="N109" s="1">
        <f t="shared" si="67"/>
        <v>50000</v>
      </c>
      <c r="P109" s="1">
        <f t="shared" si="49"/>
        <v>4545.454545454545</v>
      </c>
      <c r="Q109" s="1">
        <f t="shared" si="50"/>
        <v>-4545.454545454545</v>
      </c>
    </row>
    <row r="110" spans="1:17" x14ac:dyDescent="0.25">
      <c r="A110" s="114" t="s">
        <v>80</v>
      </c>
      <c r="B110" s="1">
        <v>85825</v>
      </c>
      <c r="C110" s="1">
        <v>579872.5</v>
      </c>
      <c r="D110" s="1">
        <v>108078.75</v>
      </c>
      <c r="E110" s="1">
        <v>961999.14</v>
      </c>
      <c r="F110" s="1">
        <v>349854.6</v>
      </c>
      <c r="G110" s="1">
        <v>1360150.98</v>
      </c>
      <c r="H110" s="58">
        <v>454175</v>
      </c>
      <c r="I110" s="1"/>
      <c r="J110" s="1"/>
      <c r="K110" s="1"/>
      <c r="L110" s="1"/>
      <c r="M110" s="1"/>
      <c r="N110" s="1">
        <f t="shared" si="67"/>
        <v>3899955.97</v>
      </c>
      <c r="P110" s="1">
        <f t="shared" si="49"/>
        <v>354541.45181818184</v>
      </c>
      <c r="Q110" s="1">
        <f t="shared" si="50"/>
        <v>-354541.45181818184</v>
      </c>
    </row>
    <row r="111" spans="1:17" x14ac:dyDescent="0.25">
      <c r="A111" s="114" t="s">
        <v>81</v>
      </c>
      <c r="B111" s="1">
        <v>26781.78</v>
      </c>
      <c r="C111" s="1">
        <v>27848.98</v>
      </c>
      <c r="D111" s="1">
        <v>17975.66</v>
      </c>
      <c r="E111" s="1">
        <v>19219.95</v>
      </c>
      <c r="F111" s="1">
        <v>22546.73</v>
      </c>
      <c r="G111" s="1">
        <v>22323.95</v>
      </c>
      <c r="H111" s="58">
        <v>27263.29</v>
      </c>
      <c r="I111" s="1"/>
      <c r="J111" s="1"/>
      <c r="K111" s="1"/>
      <c r="L111" s="1"/>
      <c r="M111" s="1"/>
      <c r="N111" s="1">
        <f t="shared" si="67"/>
        <v>163960.34</v>
      </c>
      <c r="P111" s="1">
        <f t="shared" si="49"/>
        <v>14905.485454545455</v>
      </c>
      <c r="Q111" s="1">
        <f t="shared" si="50"/>
        <v>-14905.485454545455</v>
      </c>
    </row>
    <row r="112" spans="1:17" x14ac:dyDescent="0.25">
      <c r="A112" s="114" t="s">
        <v>82</v>
      </c>
      <c r="B112" s="1">
        <v>5348.08</v>
      </c>
      <c r="C112" s="1">
        <v>3319.45</v>
      </c>
      <c r="D112" s="1">
        <v>4134.66</v>
      </c>
      <c r="E112" s="1">
        <v>2672.3</v>
      </c>
      <c r="F112" s="1">
        <v>3055.3</v>
      </c>
      <c r="G112" s="1">
        <v>3045.54</v>
      </c>
      <c r="H112" s="58">
        <v>4022.15</v>
      </c>
      <c r="I112" s="1"/>
      <c r="J112" s="1"/>
      <c r="K112" s="1"/>
      <c r="L112" s="1"/>
      <c r="M112" s="1"/>
      <c r="N112" s="1">
        <f t="shared" si="67"/>
        <v>25597.48</v>
      </c>
      <c r="P112" s="1">
        <f t="shared" si="49"/>
        <v>2327.0436363636363</v>
      </c>
      <c r="Q112" s="1">
        <f t="shared" si="50"/>
        <v>-2327.0436363636363</v>
      </c>
    </row>
    <row r="113" spans="1:17" x14ac:dyDescent="0.25">
      <c r="A113" s="114" t="s">
        <v>83</v>
      </c>
      <c r="B113" s="1">
        <v>11966.67</v>
      </c>
      <c r="C113" s="1">
        <v>6875.97</v>
      </c>
      <c r="D113" s="1">
        <v>42473.86</v>
      </c>
      <c r="E113" s="1">
        <v>8332.3799999999992</v>
      </c>
      <c r="F113" s="1">
        <v>47717.82</v>
      </c>
      <c r="G113" s="1">
        <v>14103.21</v>
      </c>
      <c r="H113" s="58">
        <v>64030.9</v>
      </c>
      <c r="I113" s="1"/>
      <c r="J113" s="1"/>
      <c r="K113" s="1"/>
      <c r="L113" s="1"/>
      <c r="M113" s="1"/>
      <c r="N113" s="1">
        <f t="shared" si="67"/>
        <v>195500.81</v>
      </c>
      <c r="P113" s="1">
        <f t="shared" si="49"/>
        <v>17772.800909090907</v>
      </c>
      <c r="Q113" s="1">
        <f t="shared" si="50"/>
        <v>-17772.800909090907</v>
      </c>
    </row>
    <row r="114" spans="1:17" x14ac:dyDescent="0.25">
      <c r="A114" s="114" t="s">
        <v>84</v>
      </c>
      <c r="B114" s="1">
        <v>-181274.6</v>
      </c>
      <c r="C114" s="1">
        <v>-14353247.48</v>
      </c>
      <c r="D114" s="1">
        <v>-865145</v>
      </c>
      <c r="E114" s="1">
        <v>-191768.9</v>
      </c>
      <c r="F114" s="1">
        <v>0</v>
      </c>
      <c r="G114" s="1">
        <v>-4824560.62</v>
      </c>
      <c r="H114" s="58">
        <v>-481109.16</v>
      </c>
      <c r="I114" s="1"/>
      <c r="J114" s="1"/>
      <c r="K114" s="1"/>
      <c r="L114" s="1"/>
      <c r="M114" s="1"/>
      <c r="N114" s="1">
        <f t="shared" si="67"/>
        <v>-20897105.760000002</v>
      </c>
      <c r="P114" s="1">
        <f t="shared" si="49"/>
        <v>-1899736.8872727274</v>
      </c>
      <c r="Q114" s="1">
        <f t="shared" si="50"/>
        <v>1899736.8872727274</v>
      </c>
    </row>
    <row r="115" spans="1:17" x14ac:dyDescent="0.25">
      <c r="A115" s="114" t="s">
        <v>85</v>
      </c>
      <c r="B115" s="1">
        <v>-49890630.729999997</v>
      </c>
      <c r="C115" s="1">
        <v>-60452389.869999997</v>
      </c>
      <c r="D115" s="1">
        <v>-214404.86</v>
      </c>
      <c r="E115" s="1">
        <v>0</v>
      </c>
      <c r="F115" s="1">
        <v>-57992.4</v>
      </c>
      <c r="G115" s="1">
        <v>-225137.37</v>
      </c>
      <c r="H115" s="58">
        <v>-521496.35</v>
      </c>
      <c r="I115" s="1"/>
      <c r="J115" s="1"/>
      <c r="K115" s="1"/>
      <c r="L115" s="1"/>
      <c r="M115" s="1"/>
      <c r="N115" s="1">
        <f t="shared" si="67"/>
        <v>-111362051.58</v>
      </c>
      <c r="P115" s="1">
        <f t="shared" si="49"/>
        <v>-10123822.870909091</v>
      </c>
      <c r="Q115" s="1">
        <f t="shared" si="50"/>
        <v>10123822.870909091</v>
      </c>
    </row>
    <row r="116" spans="1:17" x14ac:dyDescent="0.25">
      <c r="A116" s="114" t="s">
        <v>86</v>
      </c>
      <c r="B116" s="1">
        <v>-13395</v>
      </c>
      <c r="C116" s="1">
        <v>-13570</v>
      </c>
      <c r="D116" s="1">
        <v>0</v>
      </c>
      <c r="E116" s="1">
        <v>0</v>
      </c>
      <c r="F116" s="1">
        <v>0</v>
      </c>
      <c r="G116" s="1">
        <v>0</v>
      </c>
      <c r="H116" s="58">
        <v>0</v>
      </c>
      <c r="I116" s="1"/>
      <c r="J116" s="1"/>
      <c r="K116" s="1"/>
      <c r="L116" s="1"/>
      <c r="M116" s="1"/>
      <c r="N116" s="1">
        <f t="shared" si="67"/>
        <v>-26965</v>
      </c>
      <c r="P116" s="1">
        <f t="shared" si="49"/>
        <v>-2451.3636363636365</v>
      </c>
      <c r="Q116" s="1">
        <f t="shared" si="50"/>
        <v>2451.3636363636365</v>
      </c>
    </row>
    <row r="117" spans="1:17" x14ac:dyDescent="0.25">
      <c r="A117" s="114" t="s">
        <v>87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-59280</v>
      </c>
      <c r="H117" s="58">
        <v>0</v>
      </c>
      <c r="I117" s="1"/>
      <c r="J117" s="1"/>
      <c r="K117" s="1"/>
      <c r="L117" s="1"/>
      <c r="M117" s="1"/>
      <c r="N117" s="1">
        <f t="shared" si="67"/>
        <v>-59280</v>
      </c>
      <c r="P117" s="1">
        <f t="shared" si="49"/>
        <v>-5389.090909090909</v>
      </c>
      <c r="Q117" s="1">
        <f t="shared" si="50"/>
        <v>5389.090909090909</v>
      </c>
    </row>
    <row r="118" spans="1:17" x14ac:dyDescent="0.25">
      <c r="A118" s="114" t="s">
        <v>88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58">
        <v>0</v>
      </c>
      <c r="I118" s="1"/>
      <c r="J118" s="1"/>
      <c r="K118" s="1"/>
      <c r="L118" s="1"/>
      <c r="M118" s="1"/>
      <c r="N118" s="1">
        <f t="shared" si="67"/>
        <v>0</v>
      </c>
      <c r="P118" s="1">
        <f t="shared" si="49"/>
        <v>0</v>
      </c>
      <c r="Q118" s="1">
        <f t="shared" si="50"/>
        <v>0</v>
      </c>
    </row>
    <row r="119" spans="1:17" x14ac:dyDescent="0.25">
      <c r="A119" s="114" t="s">
        <v>89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58">
        <v>0</v>
      </c>
      <c r="I119" s="1"/>
      <c r="J119" s="1"/>
      <c r="K119" s="1"/>
      <c r="L119" s="1"/>
      <c r="M119" s="1"/>
      <c r="N119" s="1">
        <f t="shared" si="67"/>
        <v>0</v>
      </c>
      <c r="P119" s="1">
        <f t="shared" si="49"/>
        <v>0</v>
      </c>
      <c r="Q119" s="1">
        <f t="shared" si="50"/>
        <v>0</v>
      </c>
    </row>
    <row r="120" spans="1:17" x14ac:dyDescent="0.25">
      <c r="A120" s="114" t="s">
        <v>90</v>
      </c>
      <c r="B120" s="1">
        <v>0</v>
      </c>
      <c r="C120" s="1">
        <v>0</v>
      </c>
      <c r="D120" s="1">
        <v>0</v>
      </c>
      <c r="E120" s="1">
        <v>-58450</v>
      </c>
      <c r="F120" s="1">
        <v>-38855</v>
      </c>
      <c r="G120" s="1">
        <v>-113930</v>
      </c>
      <c r="H120" s="58">
        <v>0</v>
      </c>
      <c r="I120" s="1"/>
      <c r="J120" s="1"/>
      <c r="K120" s="1"/>
      <c r="L120" s="1"/>
      <c r="M120" s="1"/>
      <c r="N120" s="1">
        <f t="shared" si="67"/>
        <v>-211235</v>
      </c>
      <c r="P120" s="1">
        <f t="shared" si="49"/>
        <v>-19203.18181818182</v>
      </c>
      <c r="Q120" s="1">
        <f t="shared" si="50"/>
        <v>19203.18181818182</v>
      </c>
    </row>
    <row r="121" spans="1:17" x14ac:dyDescent="0.25">
      <c r="A121" s="114" t="s">
        <v>91</v>
      </c>
      <c r="B121" s="1">
        <v>0</v>
      </c>
      <c r="C121" s="1">
        <v>0</v>
      </c>
      <c r="D121" s="1">
        <v>0</v>
      </c>
      <c r="E121" s="1">
        <v>279000</v>
      </c>
      <c r="F121" s="1">
        <v>0</v>
      </c>
      <c r="G121" s="1">
        <v>1845</v>
      </c>
      <c r="H121" s="58">
        <v>1346.78</v>
      </c>
      <c r="I121" s="1"/>
      <c r="J121" s="1"/>
      <c r="K121" s="1"/>
      <c r="L121" s="1"/>
      <c r="M121" s="1"/>
      <c r="N121" s="1">
        <f t="shared" si="67"/>
        <v>282191.78000000003</v>
      </c>
      <c r="P121" s="1"/>
      <c r="Q121" s="1"/>
    </row>
    <row r="122" spans="1:17" x14ac:dyDescent="0.25">
      <c r="A122" s="114" t="s">
        <v>92</v>
      </c>
      <c r="B122" s="1">
        <v>0</v>
      </c>
      <c r="C122" s="1">
        <v>0</v>
      </c>
      <c r="D122" s="1">
        <v>0</v>
      </c>
      <c r="E122" s="1">
        <v>13312.5</v>
      </c>
      <c r="F122" s="1">
        <v>0</v>
      </c>
      <c r="G122" s="1">
        <v>0</v>
      </c>
      <c r="H122" s="58">
        <v>160130</v>
      </c>
      <c r="I122" s="1"/>
      <c r="J122" s="1"/>
      <c r="K122" s="1"/>
      <c r="L122" s="1"/>
      <c r="M122" s="1"/>
      <c r="N122" s="1">
        <f t="shared" si="67"/>
        <v>173442.5</v>
      </c>
      <c r="P122" s="1"/>
      <c r="Q122" s="1"/>
    </row>
    <row r="123" spans="1:17" s="38" customFormat="1" ht="15.75" thickBot="1" x14ac:dyDescent="0.3">
      <c r="A123" s="124" t="s">
        <v>93</v>
      </c>
      <c r="B123" s="39">
        <f>SUM(B102:B122)</f>
        <v>585390331.26999998</v>
      </c>
      <c r="C123" s="39">
        <f t="shared" ref="C123:M123" si="68">SUM(C102:C122)</f>
        <v>1326689266.1400003</v>
      </c>
      <c r="D123" s="39">
        <f t="shared" si="68"/>
        <v>408656079.10000008</v>
      </c>
      <c r="E123" s="39">
        <f t="shared" si="68"/>
        <v>144970183.93999997</v>
      </c>
      <c r="F123" s="39">
        <f t="shared" si="68"/>
        <v>212486331.58999997</v>
      </c>
      <c r="G123" s="39">
        <f>SUM(G102:G122)</f>
        <v>356304878.60000002</v>
      </c>
      <c r="H123" s="39">
        <f t="shared" si="68"/>
        <v>291633650.12999988</v>
      </c>
      <c r="I123" s="39">
        <f t="shared" si="68"/>
        <v>0</v>
      </c>
      <c r="J123" s="39">
        <f t="shared" si="68"/>
        <v>0</v>
      </c>
      <c r="K123" s="39">
        <f t="shared" si="68"/>
        <v>0</v>
      </c>
      <c r="L123" s="39">
        <f t="shared" si="68"/>
        <v>0</v>
      </c>
      <c r="M123" s="39">
        <f t="shared" si="68"/>
        <v>0</v>
      </c>
      <c r="N123" s="39">
        <f>SUM(N102:N122)</f>
        <v>3326130720.77</v>
      </c>
      <c r="P123" s="39">
        <f t="shared" si="49"/>
        <v>302375520.06999999</v>
      </c>
      <c r="Q123" s="39">
        <f t="shared" si="50"/>
        <v>-302375520.06999999</v>
      </c>
    </row>
    <row r="124" spans="1:17" ht="15.75" thickTop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P124" s="1">
        <f t="shared" si="49"/>
        <v>0</v>
      </c>
      <c r="Q124" s="1">
        <f t="shared" si="50"/>
        <v>0</v>
      </c>
    </row>
    <row r="125" spans="1:17" x14ac:dyDescent="0.25">
      <c r="A125" s="114" t="s">
        <v>94</v>
      </c>
      <c r="B125" s="1">
        <v>-3595.4</v>
      </c>
      <c r="C125" s="1">
        <v>-2471.31</v>
      </c>
      <c r="D125" s="5">
        <v>-4621.22</v>
      </c>
      <c r="E125" s="1">
        <v>-5799.91</v>
      </c>
      <c r="F125" s="1">
        <v>-1360.64</v>
      </c>
      <c r="G125" s="1">
        <v>-1536.21</v>
      </c>
      <c r="H125" s="58">
        <v>-2242.15</v>
      </c>
      <c r="I125" s="1"/>
      <c r="J125" s="1"/>
      <c r="K125" s="1"/>
      <c r="L125" s="1"/>
      <c r="M125" s="1"/>
      <c r="N125" s="1">
        <f t="shared" ref="N125:N157" si="69">SUM(B125:M125)</f>
        <v>-21626.84</v>
      </c>
      <c r="P125" s="1">
        <f t="shared" si="49"/>
        <v>-1966.0763636363636</v>
      </c>
      <c r="Q125" s="1">
        <f t="shared" si="50"/>
        <v>1966.0763636363636</v>
      </c>
    </row>
    <row r="126" spans="1:17" x14ac:dyDescent="0.25">
      <c r="A126" s="114" t="s">
        <v>95</v>
      </c>
      <c r="B126" s="1">
        <v>0</v>
      </c>
      <c r="C126" s="1">
        <v>0</v>
      </c>
      <c r="D126" s="5">
        <v>0</v>
      </c>
      <c r="E126" s="1"/>
      <c r="F126" s="1">
        <v>0</v>
      </c>
      <c r="G126" s="1">
        <v>0</v>
      </c>
      <c r="H126" s="58">
        <v>0</v>
      </c>
      <c r="I126" s="1"/>
      <c r="J126" s="1"/>
      <c r="K126" s="1"/>
      <c r="L126" s="1"/>
      <c r="M126" s="1"/>
      <c r="N126" s="1">
        <f t="shared" si="69"/>
        <v>0</v>
      </c>
      <c r="P126" s="1">
        <f t="shared" si="49"/>
        <v>0</v>
      </c>
      <c r="Q126" s="1">
        <f t="shared" si="50"/>
        <v>0</v>
      </c>
    </row>
    <row r="127" spans="1:17" x14ac:dyDescent="0.25">
      <c r="A127" s="114" t="s">
        <v>96</v>
      </c>
      <c r="B127" s="1">
        <v>155441266.31</v>
      </c>
      <c r="C127" s="1">
        <v>109044152.26000001</v>
      </c>
      <c r="D127" s="5">
        <v>100539266.20999999</v>
      </c>
      <c r="E127" s="1">
        <v>91915243.909999996</v>
      </c>
      <c r="F127" s="1">
        <v>94245288.590000004</v>
      </c>
      <c r="G127" s="1">
        <v>92942665.650000006</v>
      </c>
      <c r="H127" s="58">
        <v>124203449.56999999</v>
      </c>
      <c r="I127" s="1"/>
      <c r="J127" s="1"/>
      <c r="K127" s="1"/>
      <c r="L127" s="1"/>
      <c r="M127" s="1"/>
      <c r="N127" s="1">
        <f t="shared" si="69"/>
        <v>768331332.5</v>
      </c>
      <c r="P127" s="1">
        <f t="shared" si="49"/>
        <v>69848302.954545453</v>
      </c>
      <c r="Q127" s="1">
        <f t="shared" si="50"/>
        <v>-69848302.954545453</v>
      </c>
    </row>
    <row r="128" spans="1:17" x14ac:dyDescent="0.25">
      <c r="A128" s="114" t="s">
        <v>97</v>
      </c>
      <c r="B128" s="1">
        <v>422458884.52999997</v>
      </c>
      <c r="C128" s="1">
        <v>1215702481.6500001</v>
      </c>
      <c r="D128" s="5">
        <v>305866481.80000001</v>
      </c>
      <c r="E128" s="1">
        <v>46984540.060000002</v>
      </c>
      <c r="F128" s="1">
        <v>116527400.42</v>
      </c>
      <c r="G128" s="1">
        <v>262829543.78999999</v>
      </c>
      <c r="H128" s="58">
        <v>170093292.22</v>
      </c>
      <c r="I128" s="1"/>
      <c r="J128" s="1"/>
      <c r="K128" s="1"/>
      <c r="L128" s="1"/>
      <c r="M128" s="1"/>
      <c r="N128" s="1">
        <f t="shared" si="69"/>
        <v>2540462624.4699998</v>
      </c>
      <c r="P128" s="1">
        <f t="shared" si="49"/>
        <v>230951147.67909089</v>
      </c>
      <c r="Q128" s="1">
        <f t="shared" si="50"/>
        <v>-230951147.67909089</v>
      </c>
    </row>
    <row r="129" spans="1:17" x14ac:dyDescent="0.25">
      <c r="A129" s="114" t="s">
        <v>98</v>
      </c>
      <c r="B129" s="1">
        <v>2776246.68</v>
      </c>
      <c r="C129" s="1">
        <v>2484320.38</v>
      </c>
      <c r="D129" s="5">
        <v>617771.9</v>
      </c>
      <c r="E129" s="1">
        <v>1936970.97</v>
      </c>
      <c r="F129" s="1">
        <v>2008716.84</v>
      </c>
      <c r="G129" s="1">
        <v>489895.91</v>
      </c>
      <c r="H129" s="58">
        <v>1072423.6100000001</v>
      </c>
      <c r="I129" s="1"/>
      <c r="J129" s="1"/>
      <c r="K129" s="1"/>
      <c r="L129" s="1"/>
      <c r="M129" s="1"/>
      <c r="N129" s="1">
        <f t="shared" si="69"/>
        <v>11386346.290000001</v>
      </c>
      <c r="P129" s="1">
        <f t="shared" si="49"/>
        <v>1035122.3900000001</v>
      </c>
      <c r="Q129" s="1">
        <f t="shared" si="50"/>
        <v>-1035122.3900000001</v>
      </c>
    </row>
    <row r="130" spans="1:17" x14ac:dyDescent="0.25">
      <c r="A130" s="114" t="s">
        <v>99</v>
      </c>
      <c r="B130" s="1">
        <v>3078499.21</v>
      </c>
      <c r="C130" s="1">
        <v>1513901.47</v>
      </c>
      <c r="D130" s="5">
        <v>1441767.82</v>
      </c>
      <c r="E130" s="1">
        <v>2113636.39</v>
      </c>
      <c r="F130" s="1">
        <v>844764.25</v>
      </c>
      <c r="G130" s="1">
        <v>760350.9</v>
      </c>
      <c r="H130" s="58">
        <v>520958.08</v>
      </c>
      <c r="I130" s="1"/>
      <c r="J130" s="1"/>
      <c r="K130" s="1"/>
      <c r="L130" s="1"/>
      <c r="M130" s="1"/>
      <c r="N130" s="1">
        <f t="shared" si="69"/>
        <v>10273878.120000001</v>
      </c>
      <c r="P130" s="1">
        <f t="shared" si="49"/>
        <v>933988.92</v>
      </c>
      <c r="Q130" s="1">
        <f t="shared" si="50"/>
        <v>-933988.92</v>
      </c>
    </row>
    <row r="131" spans="1:17" x14ac:dyDescent="0.25">
      <c r="A131" s="114" t="s">
        <v>100</v>
      </c>
      <c r="B131" s="1">
        <v>0</v>
      </c>
      <c r="C131" s="1">
        <v>0</v>
      </c>
      <c r="D131" s="5">
        <v>0</v>
      </c>
      <c r="E131" s="1">
        <v>0</v>
      </c>
      <c r="F131" s="1">
        <v>72</v>
      </c>
      <c r="G131" s="1">
        <v>0</v>
      </c>
      <c r="H131" s="58">
        <v>72</v>
      </c>
      <c r="I131" s="1"/>
      <c r="J131" s="1"/>
      <c r="K131" s="1"/>
      <c r="L131" s="1"/>
      <c r="M131" s="1"/>
      <c r="N131" s="1">
        <f>SUM(B131:M131)</f>
        <v>144</v>
      </c>
      <c r="P131" s="1">
        <f t="shared" si="49"/>
        <v>13.090909090909092</v>
      </c>
      <c r="Q131" s="1">
        <f t="shared" si="50"/>
        <v>-13.090909090909092</v>
      </c>
    </row>
    <row r="132" spans="1:17" x14ac:dyDescent="0.25">
      <c r="A132" s="114" t="s">
        <v>101</v>
      </c>
      <c r="B132" s="1">
        <v>47744.73</v>
      </c>
      <c r="C132" s="1">
        <v>40318.61</v>
      </c>
      <c r="D132" s="5">
        <v>53566.29</v>
      </c>
      <c r="E132" s="1">
        <v>-3427.84</v>
      </c>
      <c r="F132" s="1">
        <v>5808.03</v>
      </c>
      <c r="G132" s="1">
        <v>11225.63</v>
      </c>
      <c r="H132" s="58">
        <v>11757.35</v>
      </c>
      <c r="I132" s="1"/>
      <c r="J132" s="1"/>
      <c r="K132" s="1"/>
      <c r="L132" s="1"/>
      <c r="M132" s="1"/>
      <c r="N132" s="1">
        <f t="shared" si="69"/>
        <v>166992.80000000002</v>
      </c>
      <c r="P132" s="1">
        <f t="shared" si="49"/>
        <v>15181.163636363637</v>
      </c>
      <c r="Q132" s="1">
        <f t="shared" si="50"/>
        <v>-15181.163636363637</v>
      </c>
    </row>
    <row r="133" spans="1:17" x14ac:dyDescent="0.25">
      <c r="A133" s="114" t="s">
        <v>102</v>
      </c>
      <c r="B133" s="1">
        <v>82580.429999999993</v>
      </c>
      <c r="C133" s="1">
        <v>556415.63</v>
      </c>
      <c r="D133" s="5">
        <v>104546.19</v>
      </c>
      <c r="E133" s="1">
        <v>891459.31</v>
      </c>
      <c r="F133" s="1">
        <v>309417.95</v>
      </c>
      <c r="G133" s="1">
        <v>1066421.99</v>
      </c>
      <c r="H133" s="58">
        <v>438557.16</v>
      </c>
      <c r="I133" s="1"/>
      <c r="J133" s="1"/>
      <c r="K133" s="1"/>
      <c r="L133" s="1"/>
      <c r="M133" s="1"/>
      <c r="N133" s="1">
        <f t="shared" si="69"/>
        <v>3449398.66</v>
      </c>
      <c r="P133" s="1">
        <f t="shared" si="49"/>
        <v>313581.69636363635</v>
      </c>
      <c r="Q133" s="1">
        <f t="shared" si="50"/>
        <v>-313581.69636363635</v>
      </c>
    </row>
    <row r="134" spans="1:17" x14ac:dyDescent="0.25">
      <c r="A134" s="114" t="s">
        <v>103</v>
      </c>
      <c r="B134" s="1">
        <v>162526.82</v>
      </c>
      <c r="C134" s="1">
        <v>186551.2</v>
      </c>
      <c r="D134" s="5">
        <f>120971.26+500</f>
        <v>121471.26</v>
      </c>
      <c r="E134" s="1">
        <v>104538.95</v>
      </c>
      <c r="F134" s="1">
        <f>108837.33+3500</f>
        <v>112337.33</v>
      </c>
      <c r="G134" s="1">
        <v>58522.59</v>
      </c>
      <c r="H134" s="58">
        <v>142640.88</v>
      </c>
      <c r="I134" s="1"/>
      <c r="J134" s="1"/>
      <c r="K134" s="1"/>
      <c r="L134" s="1"/>
      <c r="M134" s="1"/>
      <c r="N134" s="1">
        <f t="shared" si="69"/>
        <v>888589.02999999991</v>
      </c>
      <c r="P134" s="1">
        <f t="shared" ref="P134:P200" si="70">(N134-M134)/11</f>
        <v>80780.820909090908</v>
      </c>
      <c r="Q134" s="1">
        <f t="shared" ref="Q134:Q200" si="71">M134-P134</f>
        <v>-80780.820909090908</v>
      </c>
    </row>
    <row r="135" spans="1:17" x14ac:dyDescent="0.25">
      <c r="A135" s="114" t="s">
        <v>104</v>
      </c>
      <c r="B135" s="1">
        <v>0</v>
      </c>
      <c r="C135" s="1">
        <v>0</v>
      </c>
      <c r="D135" s="5">
        <v>0</v>
      </c>
      <c r="E135" s="1">
        <v>0</v>
      </c>
      <c r="F135" s="1">
        <v>0</v>
      </c>
      <c r="G135" s="1">
        <v>0</v>
      </c>
      <c r="H135" s="58">
        <v>0</v>
      </c>
      <c r="I135" s="1"/>
      <c r="J135" s="1"/>
      <c r="K135" s="1"/>
      <c r="L135" s="1"/>
      <c r="M135" s="1"/>
      <c r="N135" s="1">
        <f t="shared" si="69"/>
        <v>0</v>
      </c>
      <c r="P135" s="1">
        <f t="shared" si="70"/>
        <v>0</v>
      </c>
      <c r="Q135" s="1">
        <f t="shared" si="71"/>
        <v>0</v>
      </c>
    </row>
    <row r="136" spans="1:17" x14ac:dyDescent="0.25">
      <c r="A136" s="114" t="s">
        <v>105</v>
      </c>
      <c r="B136" s="1">
        <v>0</v>
      </c>
      <c r="C136" s="1">
        <v>0</v>
      </c>
      <c r="D136" s="5">
        <v>0</v>
      </c>
      <c r="E136" s="1">
        <v>0</v>
      </c>
      <c r="F136" s="1">
        <v>0</v>
      </c>
      <c r="G136" s="1">
        <v>0</v>
      </c>
      <c r="H136" s="58">
        <v>0</v>
      </c>
      <c r="I136" s="1"/>
      <c r="J136" s="1"/>
      <c r="K136" s="1"/>
      <c r="L136" s="1"/>
      <c r="M136" s="1"/>
      <c r="N136" s="1">
        <f t="shared" si="69"/>
        <v>0</v>
      </c>
      <c r="P136" s="1">
        <f t="shared" si="70"/>
        <v>0</v>
      </c>
      <c r="Q136" s="1">
        <f t="shared" si="71"/>
        <v>0</v>
      </c>
    </row>
    <row r="137" spans="1:17" x14ac:dyDescent="0.25">
      <c r="A137" s="114" t="s">
        <v>106</v>
      </c>
      <c r="B137" s="1">
        <v>9335.48</v>
      </c>
      <c r="C137" s="1">
        <v>703.97</v>
      </c>
      <c r="D137" s="5">
        <v>6224.3</v>
      </c>
      <c r="E137" s="1">
        <v>4346.05</v>
      </c>
      <c r="F137" s="1">
        <v>1861.52</v>
      </c>
      <c r="G137" s="1">
        <v>2668.53</v>
      </c>
      <c r="H137" s="58">
        <v>8773.1200000000008</v>
      </c>
      <c r="I137" s="1"/>
      <c r="J137" s="1"/>
      <c r="K137" s="1"/>
      <c r="L137" s="1"/>
      <c r="M137" s="1"/>
      <c r="N137" s="1">
        <f t="shared" si="69"/>
        <v>33912.97</v>
      </c>
      <c r="P137" s="1">
        <f t="shared" si="70"/>
        <v>3082.997272727273</v>
      </c>
      <c r="Q137" s="1">
        <f t="shared" si="71"/>
        <v>-3082.997272727273</v>
      </c>
    </row>
    <row r="138" spans="1:17" x14ac:dyDescent="0.25">
      <c r="A138" s="114" t="s">
        <v>107</v>
      </c>
      <c r="B138" s="1">
        <v>0</v>
      </c>
      <c r="C138" s="1">
        <v>1250</v>
      </c>
      <c r="D138" s="5">
        <v>0</v>
      </c>
      <c r="E138" s="1">
        <v>0</v>
      </c>
      <c r="F138" s="1">
        <v>0</v>
      </c>
      <c r="G138" s="1">
        <v>0</v>
      </c>
      <c r="H138" s="58">
        <v>0</v>
      </c>
      <c r="I138" s="1"/>
      <c r="J138" s="1"/>
      <c r="K138" s="1"/>
      <c r="L138" s="1"/>
      <c r="M138" s="1"/>
      <c r="N138" s="1">
        <f t="shared" si="69"/>
        <v>1250</v>
      </c>
      <c r="P138" s="1">
        <f t="shared" si="70"/>
        <v>113.63636363636364</v>
      </c>
      <c r="Q138" s="1">
        <f t="shared" si="71"/>
        <v>-113.63636363636364</v>
      </c>
    </row>
    <row r="139" spans="1:17" x14ac:dyDescent="0.25">
      <c r="A139" s="114" t="s">
        <v>108</v>
      </c>
      <c r="B139" s="1">
        <v>93164865.799999997</v>
      </c>
      <c r="C139" s="1">
        <v>43694992.5</v>
      </c>
      <c r="D139" s="5">
        <v>49872500</v>
      </c>
      <c r="E139" s="1">
        <v>37423820</v>
      </c>
      <c r="F139" s="1">
        <v>33390470</v>
      </c>
      <c r="G139" s="1">
        <v>18213000</v>
      </c>
      <c r="H139" s="58">
        <v>40236590</v>
      </c>
      <c r="I139" s="1"/>
      <c r="J139" s="1"/>
      <c r="K139" s="1"/>
      <c r="L139" s="1"/>
      <c r="M139" s="1"/>
      <c r="N139" s="1">
        <f t="shared" si="69"/>
        <v>315996238.30000001</v>
      </c>
      <c r="P139" s="1">
        <f t="shared" si="70"/>
        <v>28726930.754545454</v>
      </c>
      <c r="Q139" s="1">
        <f t="shared" si="71"/>
        <v>-28726930.754545454</v>
      </c>
    </row>
    <row r="140" spans="1:17" x14ac:dyDescent="0.25">
      <c r="A140" s="114" t="s">
        <v>109</v>
      </c>
      <c r="B140" s="1">
        <v>39860269.659999996</v>
      </c>
      <c r="C140" s="1">
        <v>50039912.299999997</v>
      </c>
      <c r="D140" s="5">
        <v>119070965.51000001</v>
      </c>
      <c r="E140" s="1">
        <v>32569174</v>
      </c>
      <c r="F140" s="1">
        <v>104415723.54000001</v>
      </c>
      <c r="G140" s="1">
        <v>53384233</v>
      </c>
      <c r="H140" s="58">
        <v>102371087</v>
      </c>
      <c r="I140" s="1"/>
      <c r="J140" s="1"/>
      <c r="K140" s="1"/>
      <c r="L140" s="1"/>
      <c r="M140" s="1"/>
      <c r="N140" s="1">
        <f t="shared" si="69"/>
        <v>501711365.00999999</v>
      </c>
      <c r="P140" s="1">
        <f t="shared" si="70"/>
        <v>45610124.091818184</v>
      </c>
      <c r="Q140" s="1">
        <f t="shared" si="71"/>
        <v>-45610124.091818184</v>
      </c>
    </row>
    <row r="141" spans="1:17" x14ac:dyDescent="0.25">
      <c r="A141" s="114" t="s">
        <v>110</v>
      </c>
      <c r="B141" s="1">
        <v>0</v>
      </c>
      <c r="C141" s="1">
        <v>252635</v>
      </c>
      <c r="D141" s="5">
        <v>333245</v>
      </c>
      <c r="E141" s="1">
        <v>95125</v>
      </c>
      <c r="F141" s="1">
        <v>0</v>
      </c>
      <c r="G141" s="1">
        <v>45375</v>
      </c>
      <c r="H141" s="58">
        <v>0</v>
      </c>
      <c r="I141" s="1"/>
      <c r="J141" s="1"/>
      <c r="K141" s="1"/>
      <c r="L141" s="1"/>
      <c r="M141" s="1"/>
      <c r="N141" s="1">
        <f t="shared" si="69"/>
        <v>726380</v>
      </c>
      <c r="P141" s="1">
        <f t="shared" si="70"/>
        <v>66034.545454545456</v>
      </c>
      <c r="Q141" s="1">
        <f t="shared" si="71"/>
        <v>-66034.545454545456</v>
      </c>
    </row>
    <row r="142" spans="1:17" x14ac:dyDescent="0.25">
      <c r="A142" s="123" t="s">
        <v>111</v>
      </c>
      <c r="B142" s="1">
        <v>0</v>
      </c>
      <c r="C142" s="1">
        <v>0</v>
      </c>
      <c r="D142" s="5">
        <v>0</v>
      </c>
      <c r="E142" s="1">
        <v>0</v>
      </c>
      <c r="F142" s="1">
        <v>0</v>
      </c>
      <c r="G142" s="1">
        <v>0</v>
      </c>
      <c r="H142" s="58">
        <v>187220</v>
      </c>
      <c r="I142" s="1"/>
      <c r="J142" s="1"/>
      <c r="K142" s="1"/>
      <c r="L142" s="1"/>
      <c r="M142" s="1"/>
      <c r="N142" s="1">
        <f t="shared" si="69"/>
        <v>187220</v>
      </c>
      <c r="P142" s="1">
        <f t="shared" si="70"/>
        <v>17020</v>
      </c>
      <c r="Q142" s="1">
        <f t="shared" si="71"/>
        <v>-17020</v>
      </c>
    </row>
    <row r="143" spans="1:17" x14ac:dyDescent="0.25">
      <c r="A143" s="114" t="s">
        <v>112</v>
      </c>
      <c r="B143" s="1">
        <v>-250773118.75999999</v>
      </c>
      <c r="C143" s="1">
        <v>-106292010.51000001</v>
      </c>
      <c r="D143" s="5">
        <v>-199926459.47999999</v>
      </c>
      <c r="E143" s="1">
        <v>-102886856.97</v>
      </c>
      <c r="F143" s="1">
        <v>-60969608.149999999</v>
      </c>
      <c r="G143" s="1">
        <v>-168909239.22</v>
      </c>
      <c r="H143" s="58">
        <v>-211950197.00999999</v>
      </c>
      <c r="I143" s="1"/>
      <c r="J143" s="1"/>
      <c r="K143" s="1"/>
      <c r="L143" s="1"/>
      <c r="M143" s="1"/>
      <c r="N143" s="1">
        <f t="shared" si="69"/>
        <v>-1101707490.0999999</v>
      </c>
      <c r="P143" s="1">
        <f t="shared" si="70"/>
        <v>-100155226.37272726</v>
      </c>
      <c r="Q143" s="1">
        <f t="shared" si="71"/>
        <v>100155226.37272726</v>
      </c>
    </row>
    <row r="144" spans="1:17" x14ac:dyDescent="0.25">
      <c r="A144" s="114" t="s">
        <v>113</v>
      </c>
      <c r="B144" s="1">
        <v>-94616255.870000005</v>
      </c>
      <c r="C144" s="1">
        <v>-43709010</v>
      </c>
      <c r="D144" s="5">
        <v>-50522100</v>
      </c>
      <c r="E144" s="1">
        <v>-37084810</v>
      </c>
      <c r="F144" s="1">
        <v>-33297790</v>
      </c>
      <c r="G144" s="1">
        <v>-17687220</v>
      </c>
      <c r="H144" s="58">
        <v>-39772170</v>
      </c>
      <c r="I144" s="1"/>
      <c r="J144" s="1"/>
      <c r="K144" s="1"/>
      <c r="L144" s="1"/>
      <c r="M144" s="1"/>
      <c r="N144" s="1">
        <f t="shared" si="69"/>
        <v>-316689355.87</v>
      </c>
      <c r="P144" s="1">
        <f t="shared" si="70"/>
        <v>-28789941.442727271</v>
      </c>
      <c r="Q144" s="1">
        <f t="shared" si="71"/>
        <v>28789941.442727271</v>
      </c>
    </row>
    <row r="145" spans="1:17" x14ac:dyDescent="0.25">
      <c r="A145" s="114" t="s">
        <v>114</v>
      </c>
      <c r="B145" s="1">
        <v>-39572318.009999998</v>
      </c>
      <c r="C145" s="1">
        <v>-54501789.609999999</v>
      </c>
      <c r="D145" s="5">
        <v>-119003409.98</v>
      </c>
      <c r="E145" s="1">
        <v>-35983600</v>
      </c>
      <c r="F145" s="1">
        <v>-104443889</v>
      </c>
      <c r="G145" s="1">
        <v>-60159775</v>
      </c>
      <c r="H145" s="58">
        <v>-104982039</v>
      </c>
      <c r="I145" s="1"/>
      <c r="J145" s="1"/>
      <c r="K145" s="1"/>
      <c r="L145" s="1"/>
      <c r="M145" s="1"/>
      <c r="N145" s="1">
        <f t="shared" si="69"/>
        <v>-518646820.60000002</v>
      </c>
      <c r="P145" s="1">
        <f t="shared" si="70"/>
        <v>-47149710.963636369</v>
      </c>
      <c r="Q145" s="1">
        <f t="shared" si="71"/>
        <v>47149710.963636369</v>
      </c>
    </row>
    <row r="146" spans="1:17" x14ac:dyDescent="0.25">
      <c r="A146" s="114" t="s">
        <v>115</v>
      </c>
      <c r="B146" s="1">
        <v>0</v>
      </c>
      <c r="C146" s="1">
        <v>-248100</v>
      </c>
      <c r="D146" s="5">
        <v>-337135</v>
      </c>
      <c r="E146" s="1">
        <v>-95680</v>
      </c>
      <c r="F146" s="1">
        <v>0</v>
      </c>
      <c r="G146" s="1">
        <v>-43600</v>
      </c>
      <c r="H146" s="58">
        <v>0</v>
      </c>
      <c r="I146" s="1"/>
      <c r="J146" s="1"/>
      <c r="K146" s="1"/>
      <c r="L146" s="1"/>
      <c r="M146" s="1"/>
      <c r="N146" s="1">
        <f t="shared" si="69"/>
        <v>-724515</v>
      </c>
      <c r="P146" s="1">
        <f t="shared" si="70"/>
        <v>-65865</v>
      </c>
      <c r="Q146" s="1">
        <f t="shared" si="71"/>
        <v>65865</v>
      </c>
    </row>
    <row r="147" spans="1:17" x14ac:dyDescent="0.25">
      <c r="A147" s="123" t="s">
        <v>116</v>
      </c>
      <c r="B147" s="1">
        <v>0</v>
      </c>
      <c r="C147" s="1">
        <v>0</v>
      </c>
      <c r="D147" s="5">
        <v>0</v>
      </c>
      <c r="E147" s="1">
        <v>0</v>
      </c>
      <c r="F147" s="1">
        <v>0</v>
      </c>
      <c r="G147" s="1">
        <v>0</v>
      </c>
      <c r="H147" s="58">
        <v>-188100</v>
      </c>
      <c r="I147" s="1"/>
      <c r="J147" s="1"/>
      <c r="K147" s="1"/>
      <c r="L147" s="1"/>
      <c r="M147" s="1"/>
      <c r="N147" s="1">
        <f t="shared" si="69"/>
        <v>-188100</v>
      </c>
      <c r="P147" s="1">
        <f t="shared" si="70"/>
        <v>-17100</v>
      </c>
      <c r="Q147" s="1">
        <f t="shared" si="71"/>
        <v>17100</v>
      </c>
    </row>
    <row r="148" spans="1:17" x14ac:dyDescent="0.25">
      <c r="A148" s="114" t="s">
        <v>117</v>
      </c>
      <c r="B148" s="1">
        <v>246469534.72</v>
      </c>
      <c r="C148" s="1">
        <v>106061841.73</v>
      </c>
      <c r="D148" s="5">
        <v>199824413.44</v>
      </c>
      <c r="E148" s="1">
        <v>102901638.84999999</v>
      </c>
      <c r="F148" s="1">
        <v>61067887.670000002</v>
      </c>
      <c r="G148" s="1">
        <v>169335911.84</v>
      </c>
      <c r="H148" s="58">
        <v>212243315.12</v>
      </c>
      <c r="I148" s="1"/>
      <c r="J148" s="1"/>
      <c r="K148" s="1"/>
      <c r="L148" s="1"/>
      <c r="M148" s="1"/>
      <c r="N148" s="1">
        <f t="shared" si="69"/>
        <v>1097904543.3699999</v>
      </c>
      <c r="P148" s="1">
        <f t="shared" si="70"/>
        <v>99809503.942727268</v>
      </c>
      <c r="Q148" s="1">
        <f t="shared" si="71"/>
        <v>-99809503.942727268</v>
      </c>
    </row>
    <row r="149" spans="1:17" x14ac:dyDescent="0.25">
      <c r="A149" s="114" t="s">
        <v>118</v>
      </c>
      <c r="B149" s="1">
        <v>57035597.560000002</v>
      </c>
      <c r="C149" s="1">
        <v>15207183.189999999</v>
      </c>
      <c r="D149" s="5">
        <v>56539241.420000002</v>
      </c>
      <c r="E149" s="1">
        <v>530220449.82999998</v>
      </c>
      <c r="F149" s="1">
        <v>504763748.92000002</v>
      </c>
      <c r="G149" s="1">
        <v>868361816.95000005</v>
      </c>
      <c r="H149" s="58">
        <v>303826130.91000003</v>
      </c>
      <c r="I149" s="1"/>
      <c r="J149" s="1"/>
      <c r="K149" s="1"/>
      <c r="L149" s="1"/>
      <c r="M149" s="1"/>
      <c r="N149" s="1">
        <f t="shared" si="69"/>
        <v>2335954168.7800002</v>
      </c>
      <c r="P149" s="1">
        <f t="shared" si="70"/>
        <v>212359469.88909093</v>
      </c>
      <c r="Q149" s="1">
        <f t="shared" si="71"/>
        <v>-212359469.88909093</v>
      </c>
    </row>
    <row r="150" spans="1:17" x14ac:dyDescent="0.25">
      <c r="A150" s="114" t="s">
        <v>119</v>
      </c>
      <c r="B150" s="1">
        <v>598572.09</v>
      </c>
      <c r="C150" s="1">
        <v>1754577.38</v>
      </c>
      <c r="D150" s="5">
        <v>588811.42000000004</v>
      </c>
      <c r="E150" s="1">
        <v>283948.55</v>
      </c>
      <c r="F150" s="1">
        <v>707796.87</v>
      </c>
      <c r="G150" s="1">
        <v>1284752.46</v>
      </c>
      <c r="H150" s="58">
        <v>497824.77</v>
      </c>
      <c r="I150" s="1"/>
      <c r="J150" s="1"/>
      <c r="K150" s="1"/>
      <c r="L150" s="1"/>
      <c r="M150" s="1"/>
      <c r="N150" s="1">
        <f t="shared" si="69"/>
        <v>5716283.5399999991</v>
      </c>
      <c r="P150" s="1">
        <f t="shared" si="70"/>
        <v>519662.1399999999</v>
      </c>
      <c r="Q150" s="1">
        <f t="shared" si="71"/>
        <v>-519662.1399999999</v>
      </c>
    </row>
    <row r="151" spans="1:17" x14ac:dyDescent="0.25">
      <c r="A151" s="114" t="s">
        <v>120</v>
      </c>
      <c r="B151" s="1">
        <v>223864.49</v>
      </c>
      <c r="C151" s="1">
        <v>0</v>
      </c>
      <c r="D151" s="5">
        <v>6537.06</v>
      </c>
      <c r="E151" s="1">
        <v>918411.8</v>
      </c>
      <c r="F151" s="1">
        <v>48550</v>
      </c>
      <c r="G151" s="1">
        <v>0</v>
      </c>
      <c r="H151" s="58">
        <v>28932.61</v>
      </c>
      <c r="I151" s="1"/>
      <c r="J151" s="1"/>
      <c r="K151" s="1"/>
      <c r="L151" s="1"/>
      <c r="M151" s="1"/>
      <c r="N151" s="1">
        <f t="shared" si="69"/>
        <v>1226295.9600000002</v>
      </c>
      <c r="P151" s="1">
        <f t="shared" si="70"/>
        <v>111481.45090909093</v>
      </c>
      <c r="Q151" s="1">
        <f t="shared" si="71"/>
        <v>-111481.45090909093</v>
      </c>
    </row>
    <row r="152" spans="1:17" x14ac:dyDescent="0.25">
      <c r="A152" s="114" t="s">
        <v>121</v>
      </c>
      <c r="B152" s="1">
        <v>170622.29</v>
      </c>
      <c r="C152" s="1">
        <v>-355074.95</v>
      </c>
      <c r="D152" s="5">
        <v>93202.33</v>
      </c>
      <c r="E152" s="1">
        <v>151429.5</v>
      </c>
      <c r="F152" s="1">
        <v>472954.71</v>
      </c>
      <c r="G152" s="1">
        <v>-437756.06</v>
      </c>
      <c r="H152" s="58">
        <v>118154.22</v>
      </c>
      <c r="I152" s="1"/>
      <c r="J152" s="1"/>
      <c r="K152" s="1"/>
      <c r="L152" s="1"/>
      <c r="M152" s="1"/>
      <c r="N152" s="1">
        <f t="shared" si="69"/>
        <v>213532.04</v>
      </c>
      <c r="P152" s="1">
        <f t="shared" si="70"/>
        <v>19412.003636363635</v>
      </c>
      <c r="Q152" s="1">
        <f t="shared" si="71"/>
        <v>-19412.003636363635</v>
      </c>
    </row>
    <row r="153" spans="1:17" x14ac:dyDescent="0.25">
      <c r="A153" s="114" t="s">
        <v>122</v>
      </c>
      <c r="B153" s="1">
        <v>-126361.61</v>
      </c>
      <c r="C153" s="1">
        <v>-158081.74</v>
      </c>
      <c r="D153" s="5">
        <v>-293026.18</v>
      </c>
      <c r="E153" s="1">
        <v>10452.620000000001</v>
      </c>
      <c r="F153" s="1">
        <v>175404.24</v>
      </c>
      <c r="G153" s="1">
        <v>14443.59</v>
      </c>
      <c r="H153" s="58">
        <v>-416683.86</v>
      </c>
      <c r="I153" s="1"/>
      <c r="J153" s="1"/>
      <c r="K153" s="1"/>
      <c r="L153" s="1"/>
      <c r="M153" s="1"/>
      <c r="N153" s="1">
        <f t="shared" si="69"/>
        <v>-793852.94</v>
      </c>
      <c r="P153" s="1">
        <f t="shared" si="70"/>
        <v>-72168.449090909082</v>
      </c>
      <c r="Q153" s="1">
        <f t="shared" si="71"/>
        <v>72168.449090909082</v>
      </c>
    </row>
    <row r="154" spans="1:17" x14ac:dyDescent="0.25">
      <c r="A154" s="114" t="s">
        <v>123</v>
      </c>
      <c r="B154" s="1">
        <v>18221.580000000002</v>
      </c>
      <c r="C154" s="1">
        <v>-143.22</v>
      </c>
      <c r="D154" s="5">
        <v>554.66999999999996</v>
      </c>
      <c r="E154" s="1">
        <v>-4571.0200000000004</v>
      </c>
      <c r="F154" s="1">
        <v>42.88</v>
      </c>
      <c r="G154" s="1">
        <v>-5187.8100000000004</v>
      </c>
      <c r="H154" s="58">
        <v>-12485.88</v>
      </c>
      <c r="I154" s="1"/>
      <c r="J154" s="1"/>
      <c r="K154" s="1"/>
      <c r="L154" s="1"/>
      <c r="M154" s="1"/>
      <c r="N154" s="1">
        <f t="shared" si="69"/>
        <v>-3568.8000000000011</v>
      </c>
      <c r="P154" s="1">
        <f t="shared" si="70"/>
        <v>-324.43636363636375</v>
      </c>
      <c r="Q154" s="1">
        <f t="shared" si="71"/>
        <v>324.43636363636375</v>
      </c>
    </row>
    <row r="155" spans="1:17" x14ac:dyDescent="0.25">
      <c r="A155" s="114" t="s">
        <v>124</v>
      </c>
      <c r="B155" s="1">
        <v>5399.7</v>
      </c>
      <c r="C155" s="1">
        <v>-3149.21</v>
      </c>
      <c r="D155" s="5">
        <v>6568.13</v>
      </c>
      <c r="E155" s="1">
        <v>405.19</v>
      </c>
      <c r="F155" s="1">
        <v>-182869.11</v>
      </c>
      <c r="G155" s="1">
        <v>-387.53</v>
      </c>
      <c r="H155" s="58">
        <v>-158271.75</v>
      </c>
      <c r="I155" s="1"/>
      <c r="J155" s="1"/>
      <c r="K155" s="1"/>
      <c r="L155" s="1"/>
      <c r="M155" s="1"/>
      <c r="N155" s="1">
        <f t="shared" si="69"/>
        <v>-332304.57999999996</v>
      </c>
      <c r="P155" s="1">
        <f t="shared" si="70"/>
        <v>-30209.507272727267</v>
      </c>
      <c r="Q155" s="1">
        <f t="shared" si="71"/>
        <v>30209.507272727267</v>
      </c>
    </row>
    <row r="156" spans="1:17" x14ac:dyDescent="0.25">
      <c r="A156" s="114" t="s">
        <v>125</v>
      </c>
      <c r="B156" s="1">
        <v>-57233909.109999999</v>
      </c>
      <c r="C156" s="1">
        <v>-15348255</v>
      </c>
      <c r="D156" s="5">
        <v>-56465326.530000001</v>
      </c>
      <c r="E156" s="1">
        <v>-529777770.38</v>
      </c>
      <c r="F156" s="1">
        <v>-504081581.20999998</v>
      </c>
      <c r="G156" s="1">
        <v>-867014981.53999996</v>
      </c>
      <c r="H156" s="58">
        <v>-299329589.75</v>
      </c>
      <c r="I156" s="1"/>
      <c r="J156" s="1"/>
      <c r="K156" s="1"/>
      <c r="L156" s="1"/>
      <c r="M156" s="1"/>
      <c r="N156" s="1">
        <f t="shared" si="69"/>
        <v>-2329251413.52</v>
      </c>
      <c r="P156" s="1">
        <f t="shared" si="70"/>
        <v>-211750128.50181818</v>
      </c>
      <c r="Q156" s="1">
        <f t="shared" si="71"/>
        <v>211750128.50181818</v>
      </c>
    </row>
    <row r="157" spans="1:17" x14ac:dyDescent="0.25">
      <c r="A157" s="114" t="s">
        <v>439</v>
      </c>
      <c r="B157" s="1">
        <v>0</v>
      </c>
      <c r="C157" s="1">
        <v>0</v>
      </c>
      <c r="D157" s="5">
        <v>0</v>
      </c>
      <c r="E157" s="1">
        <v>0</v>
      </c>
      <c r="F157" s="1">
        <v>0</v>
      </c>
      <c r="G157" s="1">
        <v>-3537.84</v>
      </c>
      <c r="H157" s="58">
        <v>-1594.95</v>
      </c>
      <c r="I157" s="1"/>
      <c r="J157" s="1"/>
      <c r="K157" s="1"/>
      <c r="L157" s="1"/>
      <c r="M157" s="1"/>
      <c r="N157" s="1">
        <f t="shared" si="69"/>
        <v>-5132.79</v>
      </c>
      <c r="P157" s="1"/>
      <c r="Q157" s="1"/>
    </row>
    <row r="158" spans="1:17" x14ac:dyDescent="0.25">
      <c r="A158" s="114" t="s">
        <v>126</v>
      </c>
      <c r="B158" s="1">
        <v>-626650</v>
      </c>
      <c r="C158" s="1">
        <v>-1795920</v>
      </c>
      <c r="D158" s="5">
        <v>-616939.36</v>
      </c>
      <c r="E158" s="1">
        <v>-282900</v>
      </c>
      <c r="F158" s="1">
        <v>-694270</v>
      </c>
      <c r="G158" s="1">
        <v>-1256000</v>
      </c>
      <c r="H158" s="58">
        <v>-513970.45</v>
      </c>
      <c r="I158" s="1"/>
      <c r="J158" s="1"/>
      <c r="K158" s="1"/>
      <c r="L158" s="1"/>
      <c r="M158" s="1"/>
      <c r="N158" s="1">
        <f t="shared" ref="N158:N184" si="72">SUM(B158:M158)</f>
        <v>-5786649.8099999996</v>
      </c>
      <c r="P158" s="1">
        <f t="shared" si="70"/>
        <v>-526059.07363636361</v>
      </c>
      <c r="Q158" s="1">
        <f t="shared" si="71"/>
        <v>526059.07363636361</v>
      </c>
    </row>
    <row r="159" spans="1:17" x14ac:dyDescent="0.25">
      <c r="A159" s="114" t="s">
        <v>127</v>
      </c>
      <c r="B159" s="1">
        <v>2230495.09</v>
      </c>
      <c r="C159" s="1">
        <v>157077.15</v>
      </c>
      <c r="D159" s="5">
        <v>273729.07</v>
      </c>
      <c r="E159" s="1">
        <v>307005.37</v>
      </c>
      <c r="F159" s="1">
        <v>-462524.73</v>
      </c>
      <c r="G159" s="1">
        <v>-239021.09</v>
      </c>
      <c r="H159" s="58">
        <v>-273397.37</v>
      </c>
      <c r="I159" s="1"/>
      <c r="J159" s="1"/>
      <c r="K159" s="1"/>
      <c r="L159" s="1"/>
      <c r="M159" s="1"/>
      <c r="N159" s="1">
        <f t="shared" si="72"/>
        <v>1993363.4899999998</v>
      </c>
      <c r="P159" s="1">
        <f t="shared" si="70"/>
        <v>181214.8627272727</v>
      </c>
      <c r="Q159" s="1">
        <f t="shared" si="71"/>
        <v>-181214.8627272727</v>
      </c>
    </row>
    <row r="160" spans="1:17" x14ac:dyDescent="0.25">
      <c r="A160" s="114" t="s">
        <v>128</v>
      </c>
      <c r="B160" s="1">
        <v>132999.03</v>
      </c>
      <c r="C160" s="1">
        <v>1861.72</v>
      </c>
      <c r="D160" s="5">
        <v>104613.37</v>
      </c>
      <c r="E160" s="1">
        <v>1487036.54</v>
      </c>
      <c r="F160" s="1">
        <v>-195552.97</v>
      </c>
      <c r="G160" s="1">
        <v>-463703.41</v>
      </c>
      <c r="H160" s="58">
        <v>-388902.1</v>
      </c>
      <c r="I160" s="1"/>
      <c r="J160" s="1"/>
      <c r="K160" s="1"/>
      <c r="L160" s="1"/>
      <c r="M160" s="1"/>
      <c r="N160" s="1">
        <f t="shared" si="72"/>
        <v>678352.18000000028</v>
      </c>
      <c r="P160" s="1">
        <f t="shared" si="70"/>
        <v>61668.380000000026</v>
      </c>
      <c r="Q160" s="1">
        <f t="shared" si="71"/>
        <v>-61668.380000000026</v>
      </c>
    </row>
    <row r="161" spans="1:17" x14ac:dyDescent="0.25">
      <c r="A161" s="114" t="s">
        <v>129</v>
      </c>
      <c r="B161" s="1">
        <v>48155.93</v>
      </c>
      <c r="C161" s="1">
        <v>51045.58</v>
      </c>
      <c r="D161" s="5">
        <v>0</v>
      </c>
      <c r="E161" s="1">
        <v>12980.84</v>
      </c>
      <c r="F161" s="1">
        <v>75.5</v>
      </c>
      <c r="G161" s="1">
        <v>0</v>
      </c>
      <c r="H161" s="58">
        <v>-13005.34</v>
      </c>
      <c r="I161" s="1"/>
      <c r="J161" s="1"/>
      <c r="K161" s="1"/>
      <c r="L161" s="1"/>
      <c r="M161" s="1"/>
      <c r="N161" s="1">
        <f t="shared" si="72"/>
        <v>99252.510000000009</v>
      </c>
      <c r="P161" s="1">
        <f t="shared" si="70"/>
        <v>9022.9554545454557</v>
      </c>
      <c r="Q161" s="1">
        <f t="shared" si="71"/>
        <v>-9022.9554545454557</v>
      </c>
    </row>
    <row r="162" spans="1:17" x14ac:dyDescent="0.25">
      <c r="A162" s="114" t="s">
        <v>130</v>
      </c>
      <c r="B162" s="1">
        <v>888979.59</v>
      </c>
      <c r="C162" s="1">
        <v>5499.6</v>
      </c>
      <c r="D162" s="5">
        <v>-2025.65</v>
      </c>
      <c r="E162" s="1">
        <v>-2516.61</v>
      </c>
      <c r="F162" s="1">
        <v>174609.93</v>
      </c>
      <c r="G162" s="1">
        <v>-356.02</v>
      </c>
      <c r="H162" s="58">
        <v>108192.24</v>
      </c>
      <c r="I162" s="1"/>
      <c r="J162" s="1"/>
      <c r="K162" s="1"/>
      <c r="L162" s="1"/>
      <c r="M162" s="1"/>
      <c r="N162" s="1">
        <f t="shared" si="72"/>
        <v>1172383.0799999998</v>
      </c>
      <c r="P162" s="1">
        <f t="shared" si="70"/>
        <v>106580.27999999998</v>
      </c>
      <c r="Q162" s="1">
        <f t="shared" si="71"/>
        <v>-106580.27999999998</v>
      </c>
    </row>
    <row r="163" spans="1:17" x14ac:dyDescent="0.25">
      <c r="A163" s="114" t="s">
        <v>131</v>
      </c>
      <c r="B163" s="1">
        <v>-241780</v>
      </c>
      <c r="C163" s="1">
        <v>0</v>
      </c>
      <c r="D163" s="5">
        <v>-42034.45</v>
      </c>
      <c r="E163" s="1">
        <f>-916350</f>
        <v>-916350</v>
      </c>
      <c r="F163" s="1">
        <v>-48550</v>
      </c>
      <c r="G163" s="1">
        <v>0</v>
      </c>
      <c r="H163" s="58">
        <v>-48901.66</v>
      </c>
      <c r="I163" s="1"/>
      <c r="J163" s="1"/>
      <c r="K163" s="1"/>
      <c r="L163" s="1"/>
      <c r="M163" s="1"/>
      <c r="N163" s="1">
        <f t="shared" si="72"/>
        <v>-1297616.1099999999</v>
      </c>
      <c r="P163" s="1">
        <f t="shared" si="70"/>
        <v>-117965.10090909089</v>
      </c>
      <c r="Q163" s="1">
        <f t="shared" si="71"/>
        <v>117965.10090909089</v>
      </c>
    </row>
    <row r="164" spans="1:17" x14ac:dyDescent="0.25">
      <c r="A164" s="114" t="s">
        <v>132</v>
      </c>
      <c r="B164" s="1">
        <v>0</v>
      </c>
      <c r="C164" s="1">
        <v>800</v>
      </c>
      <c r="D164" s="5">
        <v>0</v>
      </c>
      <c r="E164" s="1">
        <v>0</v>
      </c>
      <c r="F164" s="1">
        <v>0</v>
      </c>
      <c r="G164" s="1">
        <v>0</v>
      </c>
      <c r="H164" s="58">
        <v>0</v>
      </c>
      <c r="I164" s="1"/>
      <c r="J164" s="1"/>
      <c r="K164" s="1"/>
      <c r="L164" s="1"/>
      <c r="M164" s="1"/>
      <c r="N164" s="1">
        <f t="shared" si="72"/>
        <v>800</v>
      </c>
      <c r="P164" s="1">
        <f t="shared" si="70"/>
        <v>72.727272727272734</v>
      </c>
      <c r="Q164" s="1">
        <f t="shared" si="71"/>
        <v>-72.727272727272734</v>
      </c>
    </row>
    <row r="165" spans="1:17" x14ac:dyDescent="0.25">
      <c r="A165" s="114" t="s">
        <v>133</v>
      </c>
      <c r="B165" s="1">
        <v>2682.05</v>
      </c>
      <c r="C165" s="1">
        <v>-1617.38</v>
      </c>
      <c r="D165" s="5">
        <v>5756.07</v>
      </c>
      <c r="E165" s="1">
        <v>9048.32</v>
      </c>
      <c r="F165" s="1">
        <v>11168.19</v>
      </c>
      <c r="G165" s="1">
        <v>3721.59</v>
      </c>
      <c r="H165" s="58">
        <v>6172.25</v>
      </c>
      <c r="I165" s="1"/>
      <c r="J165" s="1"/>
      <c r="K165" s="1"/>
      <c r="L165" s="1"/>
      <c r="M165" s="1"/>
      <c r="N165" s="1">
        <f t="shared" si="72"/>
        <v>36931.089999999997</v>
      </c>
      <c r="P165" s="1">
        <f t="shared" si="70"/>
        <v>3357.3718181818181</v>
      </c>
      <c r="Q165" s="1">
        <f t="shared" si="71"/>
        <v>-3357.3718181818181</v>
      </c>
    </row>
    <row r="166" spans="1:17" x14ac:dyDescent="0.25">
      <c r="A166" s="114" t="s">
        <v>134</v>
      </c>
      <c r="B166" s="1">
        <v>5000</v>
      </c>
      <c r="C166" s="1">
        <v>16772.5</v>
      </c>
      <c r="D166" s="5">
        <v>-6772.5</v>
      </c>
      <c r="E166" s="1">
        <v>5000</v>
      </c>
      <c r="F166" s="1">
        <v>5000</v>
      </c>
      <c r="G166" s="1">
        <v>5000</v>
      </c>
      <c r="H166" s="58">
        <v>5000</v>
      </c>
      <c r="I166" s="1"/>
      <c r="J166" s="1"/>
      <c r="K166" s="1"/>
      <c r="L166" s="1"/>
      <c r="M166" s="1"/>
      <c r="N166" s="1">
        <f t="shared" si="72"/>
        <v>35000</v>
      </c>
      <c r="P166" s="1">
        <f t="shared" si="70"/>
        <v>3181.818181818182</v>
      </c>
      <c r="Q166" s="1">
        <f t="shared" si="71"/>
        <v>-3181.818181818182</v>
      </c>
    </row>
    <row r="167" spans="1:17" x14ac:dyDescent="0.25">
      <c r="A167" s="114" t="s">
        <v>135</v>
      </c>
      <c r="B167" s="1">
        <v>0</v>
      </c>
      <c r="C167" s="1">
        <v>0</v>
      </c>
      <c r="D167" s="5">
        <v>0</v>
      </c>
      <c r="E167" s="1">
        <v>0</v>
      </c>
      <c r="F167" s="1">
        <v>0</v>
      </c>
      <c r="G167" s="1">
        <v>0</v>
      </c>
      <c r="H167" s="58">
        <v>0</v>
      </c>
      <c r="I167" s="1"/>
      <c r="J167" s="1"/>
      <c r="K167" s="1"/>
      <c r="L167" s="1"/>
      <c r="M167" s="1"/>
      <c r="N167" s="1">
        <f t="shared" si="72"/>
        <v>0</v>
      </c>
      <c r="P167" s="1">
        <f t="shared" si="70"/>
        <v>0</v>
      </c>
      <c r="Q167" s="1">
        <f t="shared" si="71"/>
        <v>0</v>
      </c>
    </row>
    <row r="168" spans="1:17" x14ac:dyDescent="0.25">
      <c r="A168" s="114" t="s">
        <v>136</v>
      </c>
      <c r="B168" s="1">
        <v>20620</v>
      </c>
      <c r="C168" s="1">
        <v>1150</v>
      </c>
      <c r="D168" s="5">
        <v>0</v>
      </c>
      <c r="E168" s="1">
        <v>0</v>
      </c>
      <c r="F168" s="1">
        <v>158944.68</v>
      </c>
      <c r="G168" s="1">
        <v>1357.06</v>
      </c>
      <c r="H168" s="58">
        <v>-3040</v>
      </c>
      <c r="I168" s="1"/>
      <c r="J168" s="1"/>
      <c r="K168" s="1"/>
      <c r="L168" s="1"/>
      <c r="M168" s="1"/>
      <c r="N168" s="1">
        <f t="shared" si="72"/>
        <v>179031.74</v>
      </c>
      <c r="P168" s="1">
        <f t="shared" si="70"/>
        <v>16275.612727272726</v>
      </c>
      <c r="Q168" s="1">
        <f t="shared" si="71"/>
        <v>-16275.612727272726</v>
      </c>
    </row>
    <row r="169" spans="1:17" x14ac:dyDescent="0.25">
      <c r="A169" s="125" t="s">
        <v>137</v>
      </c>
      <c r="B169" s="40">
        <v>2910296.13</v>
      </c>
      <c r="C169" s="40">
        <v>1651163.39</v>
      </c>
      <c r="D169" s="41">
        <v>-414097.59</v>
      </c>
      <c r="E169" s="42">
        <v>959937.83</v>
      </c>
      <c r="F169" s="42">
        <v>-3014399.59</v>
      </c>
      <c r="G169" s="1">
        <v>3160990.11</v>
      </c>
      <c r="H169" s="40">
        <v>-6973390.4900000002</v>
      </c>
      <c r="I169" s="40"/>
      <c r="J169" s="40"/>
      <c r="K169" s="40"/>
      <c r="L169" s="40"/>
      <c r="M169" s="40"/>
      <c r="N169" s="43">
        <f t="shared" si="72"/>
        <v>-1719500.2100000009</v>
      </c>
      <c r="P169" s="43">
        <f t="shared" si="70"/>
        <v>-156318.20090909099</v>
      </c>
      <c r="Q169" s="43">
        <f t="shared" si="71"/>
        <v>156318.20090909099</v>
      </c>
    </row>
    <row r="170" spans="1:17" x14ac:dyDescent="0.25">
      <c r="A170" s="114" t="s">
        <v>138</v>
      </c>
      <c r="B170" s="1">
        <v>28233.33</v>
      </c>
      <c r="C170" s="1">
        <v>28233.33</v>
      </c>
      <c r="D170" s="5">
        <v>28595.83</v>
      </c>
      <c r="E170" s="1">
        <v>28233.33</v>
      </c>
      <c r="F170" s="1">
        <v>28233.33</v>
      </c>
      <c r="G170" s="1">
        <v>7627.91</v>
      </c>
      <c r="H170" s="58">
        <v>28233.33</v>
      </c>
      <c r="I170" s="1"/>
      <c r="J170" s="1"/>
      <c r="K170" s="1"/>
      <c r="L170" s="1"/>
      <c r="M170" s="1"/>
      <c r="N170" s="1">
        <f t="shared" si="72"/>
        <v>177390.39</v>
      </c>
      <c r="P170" s="1">
        <f t="shared" si="70"/>
        <v>16126.399090909092</v>
      </c>
      <c r="Q170" s="1">
        <f t="shared" si="71"/>
        <v>-16126.399090909092</v>
      </c>
    </row>
    <row r="171" spans="1:17" x14ac:dyDescent="0.25">
      <c r="A171" s="114" t="s">
        <v>139</v>
      </c>
      <c r="B171" s="1">
        <v>0</v>
      </c>
      <c r="C171" s="1">
        <v>878</v>
      </c>
      <c r="D171" s="5">
        <v>0</v>
      </c>
      <c r="E171" s="1">
        <v>0</v>
      </c>
      <c r="F171" s="1">
        <v>620</v>
      </c>
      <c r="G171" s="1">
        <v>0</v>
      </c>
      <c r="H171" s="58">
        <v>12</v>
      </c>
      <c r="I171" s="1"/>
      <c r="J171" s="1"/>
      <c r="K171" s="1"/>
      <c r="L171" s="1"/>
      <c r="M171" s="1"/>
      <c r="N171" s="1">
        <f t="shared" si="72"/>
        <v>1510</v>
      </c>
      <c r="P171" s="1">
        <f t="shared" si="70"/>
        <v>137.27272727272728</v>
      </c>
      <c r="Q171" s="1">
        <f t="shared" si="71"/>
        <v>-137.27272727272728</v>
      </c>
    </row>
    <row r="172" spans="1:17" x14ac:dyDescent="0.25">
      <c r="A172" s="114" t="s">
        <v>140</v>
      </c>
      <c r="B172" s="1">
        <v>935.34</v>
      </c>
      <c r="C172" s="1">
        <v>6097.82</v>
      </c>
      <c r="D172" s="5">
        <v>0</v>
      </c>
      <c r="E172" s="1">
        <v>924</v>
      </c>
      <c r="F172" s="1">
        <v>0</v>
      </c>
      <c r="G172" s="1">
        <v>0</v>
      </c>
      <c r="H172" s="58">
        <v>0</v>
      </c>
      <c r="I172" s="1"/>
      <c r="J172" s="1"/>
      <c r="K172" s="1"/>
      <c r="L172" s="1"/>
      <c r="M172" s="1"/>
      <c r="N172" s="1">
        <f t="shared" si="72"/>
        <v>7957.16</v>
      </c>
      <c r="P172" s="1">
        <f t="shared" si="70"/>
        <v>723.37818181818182</v>
      </c>
      <c r="Q172" s="1">
        <f t="shared" si="71"/>
        <v>-723.37818181818182</v>
      </c>
    </row>
    <row r="173" spans="1:17" x14ac:dyDescent="0.25">
      <c r="A173" s="114" t="s">
        <v>141</v>
      </c>
      <c r="B173" s="1">
        <v>13984.01</v>
      </c>
      <c r="C173" s="1">
        <v>16090.71</v>
      </c>
      <c r="D173" s="5">
        <v>17832.23</v>
      </c>
      <c r="E173" s="1">
        <v>16363.64</v>
      </c>
      <c r="F173" s="1">
        <v>18902.009999999998</v>
      </c>
      <c r="G173" s="1">
        <v>15846.75</v>
      </c>
      <c r="H173" s="58">
        <v>13522.84</v>
      </c>
      <c r="I173" s="1"/>
      <c r="J173" s="1"/>
      <c r="K173" s="1"/>
      <c r="L173" s="1"/>
      <c r="M173" s="1"/>
      <c r="N173" s="1">
        <f t="shared" si="72"/>
        <v>112542.18999999999</v>
      </c>
      <c r="P173" s="1">
        <f t="shared" si="70"/>
        <v>10231.108181818181</v>
      </c>
      <c r="Q173" s="1">
        <f t="shared" si="71"/>
        <v>-10231.108181818181</v>
      </c>
    </row>
    <row r="174" spans="1:17" x14ac:dyDescent="0.25">
      <c r="A174" s="114" t="s">
        <v>142</v>
      </c>
      <c r="B174" s="1">
        <v>0</v>
      </c>
      <c r="C174" s="1">
        <v>2779.92</v>
      </c>
      <c r="D174" s="5">
        <v>3901.48</v>
      </c>
      <c r="E174" s="1">
        <v>3738.32</v>
      </c>
      <c r="F174" s="1">
        <v>2514.86</v>
      </c>
      <c r="G174" s="1">
        <v>3378.54</v>
      </c>
      <c r="H174" s="58">
        <v>1013.2</v>
      </c>
      <c r="I174" s="1"/>
      <c r="J174" s="1"/>
      <c r="K174" s="1"/>
      <c r="L174" s="1"/>
      <c r="M174" s="1"/>
      <c r="N174" s="1">
        <f t="shared" si="72"/>
        <v>17326.32</v>
      </c>
      <c r="P174" s="1">
        <f t="shared" si="70"/>
        <v>1575.12</v>
      </c>
      <c r="Q174" s="1">
        <f t="shared" si="71"/>
        <v>-1575.12</v>
      </c>
    </row>
    <row r="175" spans="1:17" x14ac:dyDescent="0.25">
      <c r="A175" s="114" t="s">
        <v>143</v>
      </c>
      <c r="B175" s="1">
        <v>0</v>
      </c>
      <c r="C175" s="1">
        <v>0</v>
      </c>
      <c r="D175" s="5">
        <v>0</v>
      </c>
      <c r="E175" s="1">
        <v>0</v>
      </c>
      <c r="F175" s="1">
        <v>-72</v>
      </c>
      <c r="G175" s="1">
        <v>0</v>
      </c>
      <c r="H175" s="58">
        <v>-72</v>
      </c>
      <c r="I175" s="1"/>
      <c r="J175" s="1"/>
      <c r="K175" s="1"/>
      <c r="L175" s="1"/>
      <c r="M175" s="1"/>
      <c r="N175" s="1">
        <f t="shared" si="72"/>
        <v>-144</v>
      </c>
      <c r="P175" s="1">
        <f t="shared" si="70"/>
        <v>-13.090909090909092</v>
      </c>
      <c r="Q175" s="1">
        <f t="shared" si="71"/>
        <v>13.090909090909092</v>
      </c>
    </row>
    <row r="176" spans="1:17" x14ac:dyDescent="0.25">
      <c r="A176" s="114" t="s">
        <v>144</v>
      </c>
      <c r="B176" s="1">
        <v>1.87</v>
      </c>
      <c r="C176" s="1">
        <v>0</v>
      </c>
      <c r="D176" s="1">
        <v>-115.12</v>
      </c>
      <c r="E176" s="1">
        <v>3216.06</v>
      </c>
      <c r="F176" s="1">
        <v>-2308</v>
      </c>
      <c r="G176" s="1">
        <v>0</v>
      </c>
      <c r="H176" s="58">
        <v>0</v>
      </c>
      <c r="I176" s="1"/>
      <c r="J176" s="1"/>
      <c r="K176" s="1"/>
      <c r="L176" s="1"/>
      <c r="M176" s="1"/>
      <c r="N176" s="1">
        <f t="shared" si="72"/>
        <v>794.81</v>
      </c>
      <c r="P176" s="1">
        <f t="shared" si="70"/>
        <v>72.25545454545454</v>
      </c>
      <c r="Q176" s="1">
        <f t="shared" si="71"/>
        <v>-72.25545454545454</v>
      </c>
    </row>
    <row r="177" spans="1:17" x14ac:dyDescent="0.25">
      <c r="A177" s="114" t="s">
        <v>145</v>
      </c>
      <c r="B177" s="1">
        <v>655.42</v>
      </c>
      <c r="C177" s="1">
        <v>-345.3</v>
      </c>
      <c r="D177" s="1">
        <v>-1325.46</v>
      </c>
      <c r="E177" s="1">
        <v>-3163.28</v>
      </c>
      <c r="F177" s="1">
        <v>-3813.42</v>
      </c>
      <c r="G177" s="1">
        <v>-5151.74</v>
      </c>
      <c r="H177" s="58">
        <v>-2238.48</v>
      </c>
      <c r="I177" s="1"/>
      <c r="J177" s="1"/>
      <c r="K177" s="1"/>
      <c r="L177" s="1"/>
      <c r="M177" s="1"/>
      <c r="N177" s="1">
        <f t="shared" si="72"/>
        <v>-15382.26</v>
      </c>
      <c r="P177" s="1">
        <f t="shared" si="70"/>
        <v>-1398.3872727272728</v>
      </c>
      <c r="Q177" s="1">
        <f t="shared" si="71"/>
        <v>1398.3872727272728</v>
      </c>
    </row>
    <row r="178" spans="1:17" ht="15.6" customHeight="1" x14ac:dyDescent="0.25">
      <c r="A178" s="114" t="s">
        <v>146</v>
      </c>
      <c r="B178" s="1">
        <v>-260</v>
      </c>
      <c r="C178" s="1">
        <v>0</v>
      </c>
      <c r="D178" s="1">
        <v>-15</v>
      </c>
      <c r="E178" s="1">
        <f>-15</f>
        <v>-15</v>
      </c>
      <c r="F178" s="1">
        <v>0</v>
      </c>
      <c r="G178" s="1">
        <v>0</v>
      </c>
      <c r="H178" s="58">
        <v>-52.5</v>
      </c>
      <c r="I178" s="1"/>
      <c r="J178" s="1"/>
      <c r="K178" s="1"/>
      <c r="L178" s="1"/>
      <c r="M178" s="1"/>
      <c r="N178" s="1">
        <f t="shared" si="72"/>
        <v>-342.5</v>
      </c>
      <c r="P178" s="1">
        <f t="shared" si="70"/>
        <v>-31.136363636363637</v>
      </c>
      <c r="Q178" s="1">
        <f t="shared" si="71"/>
        <v>31.136363636363637</v>
      </c>
    </row>
    <row r="179" spans="1:17" ht="15.6" customHeight="1" x14ac:dyDescent="0.25">
      <c r="A179" s="114" t="s">
        <v>147</v>
      </c>
      <c r="B179" s="1">
        <v>0</v>
      </c>
      <c r="C179" s="1">
        <v>0</v>
      </c>
      <c r="D179" s="1">
        <v>0</v>
      </c>
      <c r="E179" s="1">
        <v>168314.67</v>
      </c>
      <c r="F179" s="1">
        <v>0</v>
      </c>
      <c r="G179" s="1">
        <v>1178.56</v>
      </c>
      <c r="H179" s="58">
        <v>707.78</v>
      </c>
      <c r="I179" s="1"/>
      <c r="J179" s="1"/>
      <c r="K179" s="1"/>
      <c r="L179" s="1"/>
      <c r="M179" s="1"/>
      <c r="N179" s="1">
        <f t="shared" si="72"/>
        <v>170201.01</v>
      </c>
      <c r="P179" s="1"/>
      <c r="Q179" s="1"/>
    </row>
    <row r="180" spans="1:17" ht="15.6" customHeight="1" x14ac:dyDescent="0.25">
      <c r="A180" s="114" t="s">
        <v>148</v>
      </c>
      <c r="B180" s="1">
        <v>0</v>
      </c>
      <c r="C180" s="1">
        <v>0</v>
      </c>
      <c r="D180" s="1">
        <v>0</v>
      </c>
      <c r="E180" s="1">
        <v>12675.04</v>
      </c>
      <c r="F180" s="1">
        <v>-0.02</v>
      </c>
      <c r="G180" s="1">
        <v>0</v>
      </c>
      <c r="H180" s="58">
        <v>164595.71</v>
      </c>
      <c r="I180" s="1"/>
      <c r="J180" s="1"/>
      <c r="K180" s="1"/>
      <c r="L180" s="1"/>
      <c r="M180" s="1"/>
      <c r="N180" s="1">
        <f t="shared" si="72"/>
        <v>177270.72999999998</v>
      </c>
      <c r="P180" s="1"/>
      <c r="Q180" s="1"/>
    </row>
    <row r="181" spans="1:17" s="7" customFormat="1" ht="15.6" customHeight="1" x14ac:dyDescent="0.25">
      <c r="A181" s="164" t="s">
        <v>460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v>0</v>
      </c>
      <c r="H181" s="58">
        <v>-4850.6000000000004</v>
      </c>
      <c r="I181" s="58"/>
      <c r="J181" s="58"/>
      <c r="K181" s="58"/>
      <c r="L181" s="58"/>
      <c r="M181" s="58"/>
      <c r="N181" s="58">
        <f t="shared" si="72"/>
        <v>-4850.6000000000004</v>
      </c>
      <c r="P181" s="58"/>
      <c r="Q181" s="58"/>
    </row>
    <row r="182" spans="1:17" ht="15.6" customHeight="1" x14ac:dyDescent="0.25">
      <c r="A182" s="114" t="s">
        <v>437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29.46</v>
      </c>
      <c r="H182" s="58">
        <v>61.84</v>
      </c>
      <c r="I182" s="1"/>
      <c r="J182" s="1"/>
      <c r="K182" s="1"/>
      <c r="L182" s="1"/>
      <c r="M182" s="1"/>
      <c r="N182" s="1">
        <f t="shared" si="72"/>
        <v>91.300000000000011</v>
      </c>
      <c r="P182" s="1"/>
      <c r="Q182" s="1"/>
    </row>
    <row r="183" spans="1:17" ht="15.6" customHeight="1" x14ac:dyDescent="0.25">
      <c r="A183" s="114" t="s">
        <v>438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58">
        <v>100.32</v>
      </c>
      <c r="I183" s="1"/>
      <c r="J183" s="1"/>
      <c r="K183" s="1"/>
      <c r="L183" s="1"/>
      <c r="M183" s="1"/>
      <c r="N183" s="1">
        <f t="shared" si="72"/>
        <v>100.32</v>
      </c>
      <c r="P183" s="1"/>
      <c r="Q183" s="1"/>
    </row>
    <row r="184" spans="1:17" s="7" customFormat="1" ht="15.6" customHeight="1" x14ac:dyDescent="0.25">
      <c r="A184" s="7" t="s">
        <v>455</v>
      </c>
      <c r="B184" s="58">
        <v>0</v>
      </c>
      <c r="C184" s="58">
        <v>0</v>
      </c>
      <c r="D184" s="58">
        <v>0</v>
      </c>
      <c r="E184" s="58">
        <v>0</v>
      </c>
      <c r="F184" s="58">
        <v>0</v>
      </c>
      <c r="G184" s="58">
        <v>0</v>
      </c>
      <c r="H184" s="58">
        <v>168</v>
      </c>
      <c r="I184" s="58"/>
      <c r="J184" s="58"/>
      <c r="K184" s="58"/>
      <c r="L184" s="58"/>
      <c r="M184" s="58"/>
      <c r="N184" s="58">
        <f t="shared" si="72"/>
        <v>168</v>
      </c>
      <c r="P184" s="58"/>
      <c r="Q184" s="58"/>
    </row>
    <row r="185" spans="1:17" s="38" customFormat="1" x14ac:dyDescent="0.25">
      <c r="A185" s="124" t="s">
        <v>149</v>
      </c>
      <c r="B185" s="44">
        <f>SUM(B125:B184)</f>
        <v>584692821.1099999</v>
      </c>
      <c r="C185" s="44">
        <f t="shared" ref="C185:F185" si="73">SUM(C125:C183)</f>
        <v>1326064718.7600005</v>
      </c>
      <c r="D185" s="44">
        <f t="shared" si="73"/>
        <v>407886159.28000009</v>
      </c>
      <c r="E185" s="44">
        <f>SUM(E125:E184)</f>
        <v>144492603.92999986</v>
      </c>
      <c r="F185" s="44">
        <f t="shared" si="73"/>
        <v>212099725.4200002</v>
      </c>
      <c r="G185" s="44">
        <f>SUM(G125:G184)</f>
        <v>355772504.34000009</v>
      </c>
      <c r="H185" s="44">
        <f>SUM(H125:H184)</f>
        <v>291293762.78999996</v>
      </c>
      <c r="I185" s="44">
        <f t="shared" ref="I185:M185" si="74">SUM(I125:I178)</f>
        <v>0</v>
      </c>
      <c r="J185" s="44">
        <f t="shared" si="74"/>
        <v>0</v>
      </c>
      <c r="K185" s="44">
        <f t="shared" si="74"/>
        <v>0</v>
      </c>
      <c r="L185" s="44">
        <f t="shared" si="74"/>
        <v>0</v>
      </c>
      <c r="M185" s="44">
        <f t="shared" si="74"/>
        <v>0</v>
      </c>
      <c r="N185" s="44">
        <f>SUM(N125:N184)</f>
        <v>3322302295.6299996</v>
      </c>
      <c r="P185" s="44">
        <f t="shared" si="70"/>
        <v>302027481.42090905</v>
      </c>
      <c r="Q185" s="44">
        <f t="shared" si="71"/>
        <v>-302027481.42090905</v>
      </c>
    </row>
    <row r="186" spans="1:17" s="38" customFormat="1" ht="15.75" thickBot="1" x14ac:dyDescent="0.3">
      <c r="A186" s="124" t="s">
        <v>150</v>
      </c>
      <c r="B186" s="39">
        <f t="shared" ref="B186:M186" si="75">B123-B185</f>
        <v>697510.16000008583</v>
      </c>
      <c r="C186" s="39">
        <f t="shared" si="75"/>
        <v>624547.37999987602</v>
      </c>
      <c r="D186" s="39">
        <f t="shared" si="75"/>
        <v>769919.81999999285</v>
      </c>
      <c r="E186" s="39">
        <f t="shared" si="75"/>
        <v>477580.01000010967</v>
      </c>
      <c r="F186" s="39">
        <f t="shared" si="75"/>
        <v>386606.16999977827</v>
      </c>
      <c r="G186" s="39">
        <f t="shared" si="75"/>
        <v>532374.25999993086</v>
      </c>
      <c r="H186" s="39">
        <f t="shared" si="75"/>
        <v>339887.33999991417</v>
      </c>
      <c r="I186" s="39">
        <f t="shared" si="75"/>
        <v>0</v>
      </c>
      <c r="J186" s="39">
        <f t="shared" si="75"/>
        <v>0</v>
      </c>
      <c r="K186" s="39">
        <f t="shared" si="75"/>
        <v>0</v>
      </c>
      <c r="L186" s="39">
        <f t="shared" si="75"/>
        <v>0</v>
      </c>
      <c r="M186" s="39">
        <f t="shared" si="75"/>
        <v>0</v>
      </c>
      <c r="N186" s="39">
        <f>SUM(B186:M186)</f>
        <v>3828425.1399996877</v>
      </c>
      <c r="P186" s="39">
        <f t="shared" si="70"/>
        <v>348038.6490908807</v>
      </c>
      <c r="Q186" s="39">
        <f t="shared" si="71"/>
        <v>-348038.6490908807</v>
      </c>
    </row>
    <row r="187" spans="1:17" ht="15.75" thickTop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P187" s="1">
        <f t="shared" si="70"/>
        <v>0</v>
      </c>
      <c r="Q187" s="1">
        <f t="shared" si="71"/>
        <v>0</v>
      </c>
    </row>
    <row r="188" spans="1:17" x14ac:dyDescent="0.25">
      <c r="A188" s="114" t="s">
        <v>151</v>
      </c>
      <c r="B188" s="1">
        <v>321540.08</v>
      </c>
      <c r="C188" s="1">
        <v>265057.82</v>
      </c>
      <c r="D188" s="1">
        <v>284816.11</v>
      </c>
      <c r="E188" s="1">
        <v>286945.63</v>
      </c>
      <c r="F188" s="1">
        <v>338930.51</v>
      </c>
      <c r="G188" s="1">
        <v>336452.67</v>
      </c>
      <c r="H188" s="58">
        <v>332380.34000000003</v>
      </c>
      <c r="I188" s="1"/>
      <c r="J188" s="1"/>
      <c r="K188" s="1"/>
      <c r="L188" s="1"/>
      <c r="M188" s="1"/>
      <c r="N188" s="1">
        <f t="shared" ref="N188:N198" si="76">SUM(B188:M188)</f>
        <v>2166123.16</v>
      </c>
      <c r="P188" s="1">
        <f t="shared" si="70"/>
        <v>196920.28727272729</v>
      </c>
      <c r="Q188" s="1">
        <f t="shared" si="71"/>
        <v>-196920.28727272729</v>
      </c>
    </row>
    <row r="189" spans="1:17" x14ac:dyDescent="0.25">
      <c r="A189" s="114" t="s">
        <v>152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58">
        <v>0</v>
      </c>
      <c r="I189" s="1"/>
      <c r="J189" s="1"/>
      <c r="K189" s="1"/>
      <c r="L189" s="1"/>
      <c r="M189" s="1"/>
      <c r="N189" s="1">
        <f t="shared" si="76"/>
        <v>0</v>
      </c>
      <c r="P189" s="1">
        <f t="shared" si="70"/>
        <v>0</v>
      </c>
      <c r="Q189" s="1">
        <f t="shared" si="71"/>
        <v>0</v>
      </c>
    </row>
    <row r="190" spans="1:17" x14ac:dyDescent="0.25">
      <c r="A190" s="114" t="s">
        <v>153</v>
      </c>
      <c r="B190" s="1">
        <v>0</v>
      </c>
      <c r="C190" s="1">
        <v>4088</v>
      </c>
      <c r="D190" s="5">
        <v>4088</v>
      </c>
      <c r="E190" s="1">
        <v>4088</v>
      </c>
      <c r="F190" s="1">
        <v>4088</v>
      </c>
      <c r="G190" s="1">
        <v>-2599</v>
      </c>
      <c r="H190" s="58">
        <f>[4]Sheet1!$R$95</f>
        <v>4088</v>
      </c>
      <c r="I190" s="1"/>
      <c r="J190" s="1"/>
      <c r="K190" s="1"/>
      <c r="L190" s="1"/>
      <c r="M190" s="1"/>
      <c r="N190" s="1">
        <f t="shared" si="76"/>
        <v>17841</v>
      </c>
      <c r="P190" s="1">
        <f t="shared" si="70"/>
        <v>1621.909090909091</v>
      </c>
      <c r="Q190" s="1">
        <f t="shared" si="71"/>
        <v>-1621.909090909091</v>
      </c>
    </row>
    <row r="191" spans="1:17" x14ac:dyDescent="0.25">
      <c r="A191" s="114" t="s">
        <v>154</v>
      </c>
      <c r="B191" s="1">
        <v>34485.919999999998</v>
      </c>
      <c r="C191" s="1">
        <v>25848.55</v>
      </c>
      <c r="D191" s="5">
        <v>25451.64</v>
      </c>
      <c r="E191" s="1">
        <v>26482.85</v>
      </c>
      <c r="F191" s="1">
        <v>27594.59</v>
      </c>
      <c r="G191" s="1">
        <v>26155.119999999999</v>
      </c>
      <c r="H191" s="58">
        <f>[4]Sheet1!$R$96</f>
        <v>24572.799999999999</v>
      </c>
      <c r="I191" s="1"/>
      <c r="J191" s="1"/>
      <c r="K191" s="1"/>
      <c r="L191" s="1"/>
      <c r="M191" s="1"/>
      <c r="N191" s="1">
        <f t="shared" si="76"/>
        <v>190591.46999999997</v>
      </c>
      <c r="P191" s="1">
        <f t="shared" si="70"/>
        <v>17326.497272727269</v>
      </c>
      <c r="Q191" s="1">
        <f t="shared" si="71"/>
        <v>-17326.497272727269</v>
      </c>
    </row>
    <row r="192" spans="1:17" x14ac:dyDescent="0.25">
      <c r="A192" s="114" t="s">
        <v>155</v>
      </c>
      <c r="B192" s="1">
        <v>34701.300000000003</v>
      </c>
      <c r="C192" s="1">
        <v>29078.31</v>
      </c>
      <c r="D192" s="5">
        <v>14776.7</v>
      </c>
      <c r="E192" s="1">
        <v>22093.19</v>
      </c>
      <c r="F192" s="1">
        <v>36544.94</v>
      </c>
      <c r="G192" s="1">
        <v>29148.65</v>
      </c>
      <c r="H192" s="58">
        <f>[4]Sheet1!$R$97</f>
        <v>26044.41</v>
      </c>
      <c r="I192" s="1"/>
      <c r="J192" s="1"/>
      <c r="K192" s="1"/>
      <c r="L192" s="1"/>
      <c r="M192" s="1"/>
      <c r="N192" s="1">
        <f t="shared" si="76"/>
        <v>192387.5</v>
      </c>
      <c r="P192" s="1">
        <f t="shared" si="70"/>
        <v>17489.772727272728</v>
      </c>
      <c r="Q192" s="1">
        <f t="shared" si="71"/>
        <v>-17489.772727272728</v>
      </c>
    </row>
    <row r="193" spans="1:17" x14ac:dyDescent="0.25">
      <c r="A193" s="114" t="s">
        <v>156</v>
      </c>
      <c r="B193" s="1">
        <v>3985.86</v>
      </c>
      <c r="C193" s="1">
        <v>4106.21</v>
      </c>
      <c r="D193" s="5">
        <v>4155.76</v>
      </c>
      <c r="E193" s="1">
        <v>3572.78</v>
      </c>
      <c r="F193" s="1">
        <v>2661.9</v>
      </c>
      <c r="G193" s="1">
        <v>4701.25</v>
      </c>
      <c r="H193" s="58">
        <f>[4]Sheet1!$R$98</f>
        <v>4559.01</v>
      </c>
      <c r="I193" s="1"/>
      <c r="J193" s="1"/>
      <c r="K193" s="1"/>
      <c r="L193" s="1"/>
      <c r="M193" s="1"/>
      <c r="N193" s="1">
        <f t="shared" si="76"/>
        <v>27742.770000000004</v>
      </c>
      <c r="P193" s="1">
        <f t="shared" si="70"/>
        <v>2522.0700000000002</v>
      </c>
      <c r="Q193" s="1">
        <f t="shared" si="71"/>
        <v>-2522.0700000000002</v>
      </c>
    </row>
    <row r="194" spans="1:17" x14ac:dyDescent="0.25">
      <c r="A194" s="114" t="s">
        <v>157</v>
      </c>
      <c r="B194" s="1">
        <v>9167</v>
      </c>
      <c r="C194" s="1">
        <v>9167</v>
      </c>
      <c r="D194" s="5">
        <v>9167</v>
      </c>
      <c r="E194" s="1">
        <v>9167</v>
      </c>
      <c r="F194" s="1">
        <v>9167</v>
      </c>
      <c r="G194" s="1">
        <v>8600</v>
      </c>
      <c r="H194" s="58">
        <f>[4]Sheet1!$R$99</f>
        <v>8600</v>
      </c>
      <c r="I194" s="1"/>
      <c r="J194" s="1"/>
      <c r="K194" s="1"/>
      <c r="L194" s="1"/>
      <c r="M194" s="1"/>
      <c r="N194" s="1">
        <f t="shared" si="76"/>
        <v>63035</v>
      </c>
      <c r="P194" s="1">
        <f t="shared" si="70"/>
        <v>5730.454545454545</v>
      </c>
      <c r="Q194" s="1">
        <f t="shared" si="71"/>
        <v>-5730.454545454545</v>
      </c>
    </row>
    <row r="195" spans="1:17" x14ac:dyDescent="0.25">
      <c r="A195" s="114" t="s">
        <v>158</v>
      </c>
      <c r="B195" s="1">
        <v>116.2</v>
      </c>
      <c r="C195" s="1">
        <v>164.9</v>
      </c>
      <c r="D195" s="5">
        <v>55.05</v>
      </c>
      <c r="E195" s="1">
        <v>59.95</v>
      </c>
      <c r="F195" s="1">
        <v>100</v>
      </c>
      <c r="G195" s="1">
        <v>59.95</v>
      </c>
      <c r="H195" s="58">
        <f>[4]Sheet1!$R$100</f>
        <v>1600</v>
      </c>
      <c r="I195" s="1"/>
      <c r="J195" s="1"/>
      <c r="K195" s="1"/>
      <c r="L195" s="1"/>
      <c r="M195" s="1"/>
      <c r="N195" s="1">
        <f t="shared" si="76"/>
        <v>2156.0500000000002</v>
      </c>
      <c r="P195" s="1">
        <f t="shared" si="70"/>
        <v>196.00454545454548</v>
      </c>
      <c r="Q195" s="1">
        <f t="shared" si="71"/>
        <v>-196.00454545454548</v>
      </c>
    </row>
    <row r="196" spans="1:17" x14ac:dyDescent="0.25">
      <c r="A196" s="114" t="s">
        <v>159</v>
      </c>
      <c r="B196" s="1">
        <v>1196.75</v>
      </c>
      <c r="C196" s="1">
        <v>1627.2</v>
      </c>
      <c r="D196" s="5">
        <v>1115.29</v>
      </c>
      <c r="E196" s="1">
        <v>1152.68</v>
      </c>
      <c r="F196" s="1">
        <v>1252.42</v>
      </c>
      <c r="G196" s="1">
        <v>1063.43</v>
      </c>
      <c r="H196" s="58">
        <f>[4]Sheet1!$R$101</f>
        <v>1388.91</v>
      </c>
      <c r="I196" s="1"/>
      <c r="J196" s="1"/>
      <c r="K196" s="1"/>
      <c r="L196" s="1"/>
      <c r="M196" s="1"/>
      <c r="N196" s="1">
        <f t="shared" si="76"/>
        <v>8796.68</v>
      </c>
      <c r="P196" s="1">
        <f t="shared" si="70"/>
        <v>799.69818181818187</v>
      </c>
      <c r="Q196" s="1">
        <f t="shared" si="71"/>
        <v>-799.69818181818187</v>
      </c>
    </row>
    <row r="197" spans="1:17" x14ac:dyDescent="0.25">
      <c r="A197" s="114" t="s">
        <v>160</v>
      </c>
      <c r="B197" s="1">
        <v>0</v>
      </c>
      <c r="C197" s="1">
        <v>2800</v>
      </c>
      <c r="D197" s="5">
        <v>0</v>
      </c>
      <c r="E197" s="1">
        <v>0</v>
      </c>
      <c r="F197" s="1">
        <v>0</v>
      </c>
      <c r="G197" s="1">
        <v>220</v>
      </c>
      <c r="H197" s="58">
        <f>[4]Sheet1!$R$102</f>
        <v>0</v>
      </c>
      <c r="I197" s="1"/>
      <c r="J197" s="1"/>
      <c r="K197" s="1"/>
      <c r="L197" s="1"/>
      <c r="M197" s="1"/>
      <c r="N197" s="1">
        <f t="shared" si="76"/>
        <v>3020</v>
      </c>
      <c r="P197" s="1">
        <f t="shared" si="70"/>
        <v>274.54545454545456</v>
      </c>
      <c r="Q197" s="1">
        <f t="shared" si="71"/>
        <v>-274.54545454545456</v>
      </c>
    </row>
    <row r="198" spans="1:17" x14ac:dyDescent="0.25">
      <c r="A198" s="114" t="s">
        <v>161</v>
      </c>
      <c r="B198" s="1">
        <v>0</v>
      </c>
      <c r="C198" s="1">
        <v>0</v>
      </c>
      <c r="D198" s="5">
        <v>0</v>
      </c>
      <c r="E198" s="1">
        <v>309.48</v>
      </c>
      <c r="F198" s="1">
        <v>0</v>
      </c>
      <c r="G198" s="1">
        <v>0</v>
      </c>
      <c r="H198" s="58">
        <f>[4]Sheet1!$R$103</f>
        <v>1732.26</v>
      </c>
      <c r="I198" s="1"/>
      <c r="J198" s="1"/>
      <c r="K198" s="1"/>
      <c r="L198" s="1"/>
      <c r="M198" s="1"/>
      <c r="N198" s="1">
        <f t="shared" si="76"/>
        <v>2041.74</v>
      </c>
      <c r="P198" s="1">
        <f t="shared" si="70"/>
        <v>185.61272727272728</v>
      </c>
      <c r="Q198" s="1">
        <f t="shared" si="71"/>
        <v>-185.61272727272728</v>
      </c>
    </row>
    <row r="199" spans="1:17" ht="15.75" thickBot="1" x14ac:dyDescent="0.3">
      <c r="A199" s="124" t="s">
        <v>162</v>
      </c>
      <c r="B199" s="39">
        <f t="shared" ref="B199:H199" si="77">SUM(B188:B198)</f>
        <v>405193.11</v>
      </c>
      <c r="C199" s="39">
        <f t="shared" si="77"/>
        <v>341937.99000000005</v>
      </c>
      <c r="D199" s="39">
        <f t="shared" si="77"/>
        <v>343625.55</v>
      </c>
      <c r="E199" s="39">
        <f t="shared" si="77"/>
        <v>353871.56</v>
      </c>
      <c r="F199" s="39">
        <f t="shared" si="77"/>
        <v>420339.36000000004</v>
      </c>
      <c r="G199" s="39">
        <f t="shared" si="77"/>
        <v>403802.07</v>
      </c>
      <c r="H199" s="39">
        <f t="shared" si="77"/>
        <v>404965.73</v>
      </c>
      <c r="I199" s="39">
        <f t="shared" ref="I199:M199" si="78">SUM(I188:I196)</f>
        <v>0</v>
      </c>
      <c r="J199" s="39">
        <f t="shared" si="78"/>
        <v>0</v>
      </c>
      <c r="K199" s="39">
        <f t="shared" si="78"/>
        <v>0</v>
      </c>
      <c r="L199" s="39">
        <f t="shared" si="78"/>
        <v>0</v>
      </c>
      <c r="M199" s="39">
        <f t="shared" si="78"/>
        <v>0</v>
      </c>
      <c r="N199" s="39">
        <f>SUM(N188:T198)</f>
        <v>2673735.37</v>
      </c>
      <c r="P199" s="39">
        <f t="shared" si="70"/>
        <v>243066.85181818184</v>
      </c>
      <c r="Q199" s="39">
        <f t="shared" si="71"/>
        <v>-243066.85181818184</v>
      </c>
    </row>
    <row r="200" spans="1:17" ht="15.75" thickTop="1" x14ac:dyDescent="0.25"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1"/>
      <c r="N200" s="1"/>
      <c r="P200" s="1">
        <f t="shared" si="70"/>
        <v>0</v>
      </c>
      <c r="Q200" s="1">
        <f t="shared" si="71"/>
        <v>0</v>
      </c>
    </row>
    <row r="201" spans="1:17" x14ac:dyDescent="0.25">
      <c r="A201" s="114" t="s">
        <v>163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/>
      <c r="I201" s="1"/>
      <c r="J201" s="1"/>
      <c r="K201" s="1"/>
      <c r="L201" s="1"/>
      <c r="M201" s="1"/>
      <c r="N201" s="1">
        <f t="shared" ref="N201:N217" si="79">SUM(B201:M201)</f>
        <v>0</v>
      </c>
      <c r="P201" s="1"/>
      <c r="Q201" s="1"/>
    </row>
    <row r="202" spans="1:17" x14ac:dyDescent="0.25">
      <c r="A202" s="114" t="s">
        <v>164</v>
      </c>
      <c r="B202" s="1">
        <v>34200</v>
      </c>
      <c r="C202" s="1">
        <v>34200</v>
      </c>
      <c r="D202" s="5">
        <v>34200</v>
      </c>
      <c r="E202" s="1">
        <v>34200</v>
      </c>
      <c r="F202" s="1">
        <v>34200</v>
      </c>
      <c r="G202" s="1">
        <v>34200</v>
      </c>
      <c r="H202" s="58">
        <v>34200</v>
      </c>
      <c r="I202" s="1"/>
      <c r="J202" s="1"/>
      <c r="K202" s="1"/>
      <c r="L202" s="1"/>
      <c r="M202" s="1"/>
      <c r="N202" s="1">
        <f t="shared" si="79"/>
        <v>239400</v>
      </c>
      <c r="P202" s="1">
        <f t="shared" ref="P202:P253" si="80">(N202-M202)/11</f>
        <v>21763.636363636364</v>
      </c>
      <c r="Q202" s="1">
        <f t="shared" ref="Q202:Q253" si="81">M202-P202</f>
        <v>-21763.636363636364</v>
      </c>
    </row>
    <row r="203" spans="1:17" x14ac:dyDescent="0.25">
      <c r="A203" s="114" t="s">
        <v>165</v>
      </c>
      <c r="B203" s="1">
        <v>8503.81</v>
      </c>
      <c r="C203" s="1">
        <v>5315.92</v>
      </c>
      <c r="D203" s="5">
        <v>5721.77</v>
      </c>
      <c r="E203" s="1">
        <v>1979.68</v>
      </c>
      <c r="F203" s="1">
        <v>-5668.03</v>
      </c>
      <c r="G203" s="1">
        <v>-5550.91</v>
      </c>
      <c r="H203" s="58">
        <v>-5623.92</v>
      </c>
      <c r="I203" s="1"/>
      <c r="J203" s="1"/>
      <c r="K203" s="1"/>
      <c r="L203" s="1"/>
      <c r="M203" s="1"/>
      <c r="N203" s="1">
        <f t="shared" si="79"/>
        <v>4678.3200000000015</v>
      </c>
      <c r="P203" s="1">
        <f t="shared" si="80"/>
        <v>425.30181818181831</v>
      </c>
      <c r="Q203" s="1">
        <f t="shared" si="81"/>
        <v>-425.30181818181831</v>
      </c>
    </row>
    <row r="204" spans="1:17" x14ac:dyDescent="0.25">
      <c r="A204" s="114" t="s">
        <v>166</v>
      </c>
      <c r="B204" s="1">
        <v>812.13</v>
      </c>
      <c r="C204" s="1">
        <v>2889.41</v>
      </c>
      <c r="D204" s="5">
        <v>2880.16</v>
      </c>
      <c r="E204" s="1">
        <v>1338.1</v>
      </c>
      <c r="F204" s="1">
        <v>587.38</v>
      </c>
      <c r="G204" s="1">
        <v>168.44</v>
      </c>
      <c r="H204" s="58">
        <v>38.119999999999997</v>
      </c>
      <c r="I204" s="1"/>
      <c r="J204" s="1"/>
      <c r="K204" s="1"/>
      <c r="L204" s="1"/>
      <c r="M204" s="1"/>
      <c r="N204" s="1">
        <f t="shared" si="79"/>
        <v>8713.74</v>
      </c>
      <c r="P204" s="1">
        <f t="shared" si="80"/>
        <v>792.15818181818179</v>
      </c>
      <c r="Q204" s="1">
        <f t="shared" si="81"/>
        <v>-792.15818181818179</v>
      </c>
    </row>
    <row r="205" spans="1:17" x14ac:dyDescent="0.25">
      <c r="A205" s="114" t="s">
        <v>167</v>
      </c>
      <c r="B205" s="1">
        <v>0</v>
      </c>
      <c r="C205" s="1">
        <v>0</v>
      </c>
      <c r="D205" s="5">
        <v>0</v>
      </c>
      <c r="E205" s="1">
        <v>0</v>
      </c>
      <c r="F205" s="1">
        <v>579.03</v>
      </c>
      <c r="G205" s="1">
        <v>0</v>
      </c>
      <c r="H205" s="58">
        <v>0</v>
      </c>
      <c r="I205" s="1"/>
      <c r="J205" s="1"/>
      <c r="K205" s="1"/>
      <c r="L205" s="1"/>
      <c r="M205" s="1"/>
      <c r="N205" s="1">
        <f t="shared" si="79"/>
        <v>579.03</v>
      </c>
      <c r="P205" s="1">
        <f t="shared" si="80"/>
        <v>52.639090909090903</v>
      </c>
      <c r="Q205" s="1">
        <f t="shared" si="81"/>
        <v>-52.639090909090903</v>
      </c>
    </row>
    <row r="206" spans="1:17" x14ac:dyDescent="0.25">
      <c r="A206" t="s">
        <v>459</v>
      </c>
      <c r="B206" s="1">
        <v>6595</v>
      </c>
      <c r="C206" s="1">
        <v>2825</v>
      </c>
      <c r="D206" s="5">
        <v>4805</v>
      </c>
      <c r="E206" s="1">
        <v>0</v>
      </c>
      <c r="F206" s="1">
        <v>0</v>
      </c>
      <c r="G206" s="1">
        <v>0</v>
      </c>
      <c r="H206" s="58">
        <v>5490</v>
      </c>
      <c r="I206" s="1"/>
      <c r="J206" s="1"/>
      <c r="K206" s="1"/>
      <c r="L206" s="1"/>
      <c r="M206" s="1"/>
      <c r="N206" s="1">
        <f t="shared" si="79"/>
        <v>19715</v>
      </c>
      <c r="P206" s="1">
        <f t="shared" si="80"/>
        <v>1792.2727272727273</v>
      </c>
      <c r="Q206" s="1">
        <f t="shared" si="81"/>
        <v>-1792.2727272727273</v>
      </c>
    </row>
    <row r="207" spans="1:17" x14ac:dyDescent="0.25">
      <c r="A207" s="114" t="s">
        <v>168</v>
      </c>
      <c r="B207" s="1">
        <v>11843.29</v>
      </c>
      <c r="C207" s="1">
        <v>5450.87</v>
      </c>
      <c r="D207" s="5">
        <v>12040.98</v>
      </c>
      <c r="E207" s="1">
        <v>8053.61</v>
      </c>
      <c r="F207" s="1">
        <v>16912.45</v>
      </c>
      <c r="G207" s="1">
        <v>6944.38</v>
      </c>
      <c r="H207" s="58">
        <v>13400.41</v>
      </c>
      <c r="I207" s="1"/>
      <c r="J207" s="1"/>
      <c r="K207" s="1"/>
      <c r="L207" s="1"/>
      <c r="M207" s="1"/>
      <c r="N207" s="1">
        <f t="shared" si="79"/>
        <v>74645.989999999991</v>
      </c>
      <c r="P207" s="1">
        <f t="shared" si="80"/>
        <v>6785.9990909090902</v>
      </c>
      <c r="Q207" s="1">
        <f t="shared" si="81"/>
        <v>-6785.9990909090902</v>
      </c>
    </row>
    <row r="208" spans="1:17" x14ac:dyDescent="0.25">
      <c r="A208" s="114" t="s">
        <v>169</v>
      </c>
      <c r="B208" s="1">
        <v>8676.52</v>
      </c>
      <c r="C208" s="1">
        <v>8676.52</v>
      </c>
      <c r="D208" s="5">
        <v>8676.51</v>
      </c>
      <c r="E208" s="1">
        <v>8676.52</v>
      </c>
      <c r="F208" s="1">
        <v>8676.52</v>
      </c>
      <c r="G208" s="1">
        <v>8676.51</v>
      </c>
      <c r="H208" s="58">
        <v>9179.7000000000007</v>
      </c>
      <c r="I208" s="1"/>
      <c r="J208" s="1"/>
      <c r="K208" s="1"/>
      <c r="L208" s="1"/>
      <c r="M208" s="1"/>
      <c r="N208" s="1">
        <f t="shared" si="79"/>
        <v>61238.800000000017</v>
      </c>
      <c r="P208" s="1">
        <f t="shared" si="80"/>
        <v>5567.163636363638</v>
      </c>
      <c r="Q208" s="1">
        <f t="shared" si="81"/>
        <v>-5567.163636363638</v>
      </c>
    </row>
    <row r="209" spans="1:17" x14ac:dyDescent="0.25">
      <c r="A209" s="114" t="s">
        <v>170</v>
      </c>
      <c r="B209" s="1">
        <v>3100</v>
      </c>
      <c r="C209" s="1">
        <v>3100</v>
      </c>
      <c r="D209" s="5">
        <v>3100</v>
      </c>
      <c r="E209" s="1">
        <v>3100</v>
      </c>
      <c r="F209" s="1">
        <v>3100</v>
      </c>
      <c r="G209" s="1">
        <v>4500</v>
      </c>
      <c r="H209" s="58">
        <v>4366.8900000000003</v>
      </c>
      <c r="I209" s="1"/>
      <c r="J209" s="1"/>
      <c r="K209" s="1"/>
      <c r="L209" s="1"/>
      <c r="M209" s="1"/>
      <c r="N209" s="1">
        <f t="shared" si="79"/>
        <v>24366.89</v>
      </c>
      <c r="P209" s="1">
        <f t="shared" si="80"/>
        <v>2215.1718181818183</v>
      </c>
      <c r="Q209" s="1">
        <f t="shared" si="81"/>
        <v>-2215.1718181818183</v>
      </c>
    </row>
    <row r="210" spans="1:17" x14ac:dyDescent="0.25">
      <c r="A210" s="114" t="s">
        <v>171</v>
      </c>
      <c r="B210" s="1">
        <v>5157.18</v>
      </c>
      <c r="C210" s="1">
        <v>5157.18</v>
      </c>
      <c r="D210" s="5">
        <v>5023.41</v>
      </c>
      <c r="E210" s="1">
        <v>5123.42</v>
      </c>
      <c r="F210" s="1">
        <v>5023.42</v>
      </c>
      <c r="G210" s="1">
        <v>5023.42</v>
      </c>
      <c r="H210" s="58">
        <v>5023.42</v>
      </c>
      <c r="I210" s="1"/>
      <c r="J210" s="1"/>
      <c r="K210" s="1"/>
      <c r="L210" s="1"/>
      <c r="M210" s="1"/>
      <c r="N210" s="1">
        <f t="shared" si="79"/>
        <v>35531.449999999997</v>
      </c>
      <c r="P210" s="1">
        <f t="shared" si="80"/>
        <v>3230.1318181818178</v>
      </c>
      <c r="Q210" s="1">
        <f t="shared" si="81"/>
        <v>-3230.1318181818178</v>
      </c>
    </row>
    <row r="211" spans="1:17" x14ac:dyDescent="0.25">
      <c r="A211" s="114" t="s">
        <v>172</v>
      </c>
      <c r="B211" s="1">
        <v>781.02</v>
      </c>
      <c r="C211" s="1">
        <v>3798.75</v>
      </c>
      <c r="D211" s="5">
        <v>1347.95</v>
      </c>
      <c r="E211" s="1">
        <v>606.57000000000005</v>
      </c>
      <c r="F211" s="1">
        <v>716.17</v>
      </c>
      <c r="G211" s="1">
        <v>506.25</v>
      </c>
      <c r="H211" s="58">
        <v>0</v>
      </c>
      <c r="I211" s="1"/>
      <c r="J211" s="1"/>
      <c r="K211" s="1"/>
      <c r="L211" s="1"/>
      <c r="M211" s="1"/>
      <c r="N211" s="1">
        <f t="shared" si="79"/>
        <v>7756.71</v>
      </c>
      <c r="O211" s="1"/>
      <c r="P211" s="1">
        <f t="shared" si="80"/>
        <v>705.15545454545452</v>
      </c>
      <c r="Q211" s="1">
        <f t="shared" si="81"/>
        <v>-705.15545454545452</v>
      </c>
    </row>
    <row r="212" spans="1:17" x14ac:dyDescent="0.25">
      <c r="A212" s="114" t="s">
        <v>173</v>
      </c>
      <c r="B212" s="1">
        <v>740.6</v>
      </c>
      <c r="C212" s="1">
        <v>321.60000000000002</v>
      </c>
      <c r="D212" s="5">
        <v>321.60000000000002</v>
      </c>
      <c r="E212" s="1">
        <v>419.18</v>
      </c>
      <c r="F212" s="1">
        <v>439.52</v>
      </c>
      <c r="G212" s="1">
        <v>321.60000000000002</v>
      </c>
      <c r="H212" s="58">
        <v>1372.85</v>
      </c>
      <c r="I212" s="1"/>
      <c r="J212" s="1"/>
      <c r="K212" s="1"/>
      <c r="L212" s="1"/>
      <c r="M212" s="1"/>
      <c r="N212" s="1">
        <f t="shared" si="79"/>
        <v>3936.95</v>
      </c>
      <c r="P212" s="1">
        <f t="shared" si="80"/>
        <v>357.90454545454543</v>
      </c>
      <c r="Q212" s="1">
        <f t="shared" si="81"/>
        <v>-357.90454545454543</v>
      </c>
    </row>
    <row r="213" spans="1:17" x14ac:dyDescent="0.25">
      <c r="A213" s="114" t="s">
        <v>174</v>
      </c>
      <c r="B213" s="1">
        <v>333.33</v>
      </c>
      <c r="C213" s="1">
        <v>333.33</v>
      </c>
      <c r="D213" s="5">
        <v>333.33</v>
      </c>
      <c r="E213" s="1">
        <v>333.33</v>
      </c>
      <c r="F213" s="1">
        <v>333.33</v>
      </c>
      <c r="G213" s="1">
        <v>333.33</v>
      </c>
      <c r="H213" s="58">
        <v>333.33</v>
      </c>
      <c r="I213" s="1"/>
      <c r="J213" s="1"/>
      <c r="K213" s="1"/>
      <c r="L213" s="1"/>
      <c r="M213" s="1"/>
      <c r="N213" s="1">
        <f t="shared" si="79"/>
        <v>2333.31</v>
      </c>
      <c r="P213" s="1">
        <f t="shared" si="80"/>
        <v>212.11909090909091</v>
      </c>
      <c r="Q213" s="1">
        <f t="shared" si="81"/>
        <v>-212.11909090909091</v>
      </c>
    </row>
    <row r="214" spans="1:17" x14ac:dyDescent="0.25">
      <c r="A214" s="114" t="s">
        <v>175</v>
      </c>
      <c r="B214" s="1">
        <v>115897.3</v>
      </c>
      <c r="C214" s="1">
        <v>117313.31</v>
      </c>
      <c r="D214" s="5">
        <v>117313.31</v>
      </c>
      <c r="E214" s="1">
        <v>69868.929999999993</v>
      </c>
      <c r="F214" s="1">
        <v>62865.39</v>
      </c>
      <c r="G214" s="1">
        <v>89768.53</v>
      </c>
      <c r="H214" s="58">
        <v>67753.13</v>
      </c>
      <c r="I214" s="1"/>
      <c r="J214" s="1"/>
      <c r="K214" s="1"/>
      <c r="L214" s="1"/>
      <c r="M214" s="1"/>
      <c r="N214" s="1">
        <f t="shared" si="79"/>
        <v>640779.9</v>
      </c>
      <c r="P214" s="1">
        <f t="shared" si="80"/>
        <v>58252.718181818185</v>
      </c>
      <c r="Q214" s="1">
        <f t="shared" si="81"/>
        <v>-58252.718181818185</v>
      </c>
    </row>
    <row r="215" spans="1:17" x14ac:dyDescent="0.25">
      <c r="A215" s="114" t="s">
        <v>176</v>
      </c>
      <c r="B215" s="1">
        <v>0</v>
      </c>
      <c r="C215" s="1">
        <v>0</v>
      </c>
      <c r="D215" s="5">
        <v>0</v>
      </c>
      <c r="E215" s="1">
        <v>1820.4</v>
      </c>
      <c r="F215" s="1">
        <v>0</v>
      </c>
      <c r="G215" s="1">
        <v>5256.73</v>
      </c>
      <c r="H215" s="58">
        <v>3721.9</v>
      </c>
      <c r="I215" s="1"/>
      <c r="J215" s="1"/>
      <c r="K215" s="1"/>
      <c r="L215" s="1"/>
      <c r="M215" s="1"/>
      <c r="N215" s="1">
        <f t="shared" si="79"/>
        <v>10799.029999999999</v>
      </c>
      <c r="P215" s="1">
        <f t="shared" si="80"/>
        <v>981.7299999999999</v>
      </c>
      <c r="Q215" s="1">
        <f t="shared" si="81"/>
        <v>-981.7299999999999</v>
      </c>
    </row>
    <row r="216" spans="1:17" x14ac:dyDescent="0.25">
      <c r="A216" s="114" t="s">
        <v>177</v>
      </c>
      <c r="B216" s="1">
        <v>0</v>
      </c>
      <c r="C216" s="1">
        <v>0</v>
      </c>
      <c r="D216" s="5">
        <v>0</v>
      </c>
      <c r="E216" s="1">
        <v>390</v>
      </c>
      <c r="F216" s="1">
        <v>390</v>
      </c>
      <c r="G216" s="1">
        <v>390</v>
      </c>
      <c r="H216" s="58">
        <v>390</v>
      </c>
      <c r="I216" s="1"/>
      <c r="J216" s="1"/>
      <c r="K216" s="1"/>
      <c r="L216" s="1"/>
      <c r="M216" s="1"/>
      <c r="N216" s="1">
        <f t="shared" si="79"/>
        <v>1560</v>
      </c>
      <c r="P216" s="1">
        <f t="shared" si="80"/>
        <v>141.81818181818181</v>
      </c>
      <c r="Q216" s="1">
        <f t="shared" si="81"/>
        <v>-141.81818181818181</v>
      </c>
    </row>
    <row r="217" spans="1:17" x14ac:dyDescent="0.25">
      <c r="A217" s="114" t="s">
        <v>396</v>
      </c>
      <c r="B217" s="1">
        <v>0</v>
      </c>
      <c r="C217" s="1">
        <v>0</v>
      </c>
      <c r="D217" s="5">
        <v>0</v>
      </c>
      <c r="E217" s="1">
        <v>51803</v>
      </c>
      <c r="F217" s="1">
        <v>58244.6</v>
      </c>
      <c r="G217" s="1">
        <v>55745.919999999998</v>
      </c>
      <c r="H217" s="58">
        <v>74963</v>
      </c>
      <c r="I217" s="1"/>
      <c r="J217" s="1"/>
      <c r="K217" s="1"/>
      <c r="L217" s="1"/>
      <c r="M217" s="1"/>
      <c r="N217" s="1">
        <f t="shared" si="79"/>
        <v>240756.52000000002</v>
      </c>
      <c r="P217" s="1"/>
      <c r="Q217" s="1"/>
    </row>
    <row r="218" spans="1:17" ht="15.75" thickBot="1" x14ac:dyDescent="0.3">
      <c r="A218" s="124" t="s">
        <v>178</v>
      </c>
      <c r="B218" s="39">
        <f t="shared" ref="B218:F218" si="82">SUM(B202:B217)</f>
        <v>196640.18</v>
      </c>
      <c r="C218" s="39">
        <f t="shared" si="82"/>
        <v>189381.89</v>
      </c>
      <c r="D218" s="39">
        <f t="shared" si="82"/>
        <v>195764.02000000002</v>
      </c>
      <c r="E218" s="39">
        <f t="shared" si="82"/>
        <v>187712.74</v>
      </c>
      <c r="F218" s="39">
        <f t="shared" si="82"/>
        <v>186399.78</v>
      </c>
      <c r="G218" s="39">
        <f>SUM(G202:G217)</f>
        <v>206284.2</v>
      </c>
      <c r="H218" s="39">
        <f>SUM(H202:M217)</f>
        <v>214608.83</v>
      </c>
      <c r="I218" s="39">
        <f t="shared" ref="I218:M218" si="83">SUM(I202:I214)</f>
        <v>0</v>
      </c>
      <c r="J218" s="39">
        <f t="shared" si="83"/>
        <v>0</v>
      </c>
      <c r="K218" s="39">
        <f t="shared" si="83"/>
        <v>0</v>
      </c>
      <c r="L218" s="39">
        <f t="shared" si="83"/>
        <v>0</v>
      </c>
      <c r="M218" s="39">
        <f t="shared" si="83"/>
        <v>0</v>
      </c>
      <c r="N218" s="39">
        <f>SUM(N202:N217)</f>
        <v>1376791.6400000001</v>
      </c>
      <c r="P218" s="39">
        <f t="shared" si="80"/>
        <v>125162.87636363637</v>
      </c>
      <c r="Q218" s="39">
        <f t="shared" si="81"/>
        <v>-125162.87636363637</v>
      </c>
    </row>
    <row r="219" spans="1:17" ht="15.75" thickTop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P219" s="1">
        <f t="shared" si="80"/>
        <v>0</v>
      </c>
      <c r="Q219" s="1">
        <f t="shared" si="81"/>
        <v>0</v>
      </c>
    </row>
    <row r="220" spans="1:17" x14ac:dyDescent="0.25">
      <c r="A220" s="114" t="s">
        <v>179</v>
      </c>
      <c r="B220" s="1">
        <v>0</v>
      </c>
      <c r="C220" s="1">
        <v>0</v>
      </c>
      <c r="D220" s="1">
        <v>0</v>
      </c>
      <c r="E220" s="1"/>
      <c r="F220" s="1">
        <v>0</v>
      </c>
      <c r="G220" s="1">
        <v>2500</v>
      </c>
      <c r="H220" s="58">
        <v>2000</v>
      </c>
      <c r="I220" s="1"/>
      <c r="J220" s="1"/>
      <c r="K220" s="1"/>
      <c r="L220" s="1"/>
      <c r="M220" s="1"/>
      <c r="N220" s="1">
        <f t="shared" ref="N220:N248" si="84">SUM(B220:M220)</f>
        <v>4500</v>
      </c>
      <c r="P220" s="1">
        <f t="shared" si="80"/>
        <v>409.09090909090907</v>
      </c>
      <c r="Q220" s="1">
        <f t="shared" si="81"/>
        <v>-409.09090909090907</v>
      </c>
    </row>
    <row r="221" spans="1:17" x14ac:dyDescent="0.25">
      <c r="A221" s="114" t="s">
        <v>180</v>
      </c>
      <c r="B221" s="1">
        <v>5835.67</v>
      </c>
      <c r="C221" s="1">
        <v>5000</v>
      </c>
      <c r="D221" s="5">
        <v>4813.05</v>
      </c>
      <c r="E221" s="1">
        <v>5000</v>
      </c>
      <c r="F221" s="1">
        <v>5000</v>
      </c>
      <c r="G221" s="1">
        <v>5000</v>
      </c>
      <c r="H221" s="58">
        <v>5000</v>
      </c>
      <c r="I221" s="1"/>
      <c r="J221" s="1"/>
      <c r="K221" s="1"/>
      <c r="L221" s="1"/>
      <c r="M221" s="1"/>
      <c r="N221" s="1">
        <f t="shared" si="84"/>
        <v>35648.720000000001</v>
      </c>
      <c r="P221" s="1">
        <f t="shared" si="80"/>
        <v>3240.7927272727275</v>
      </c>
      <c r="Q221" s="1">
        <f t="shared" si="81"/>
        <v>-3240.7927272727275</v>
      </c>
    </row>
    <row r="222" spans="1:17" x14ac:dyDescent="0.25">
      <c r="A222" s="114" t="s">
        <v>181</v>
      </c>
      <c r="B222" s="1">
        <v>815.83</v>
      </c>
      <c r="C222" s="1">
        <v>1293.81</v>
      </c>
      <c r="D222" s="5">
        <v>863.73</v>
      </c>
      <c r="E222" s="1">
        <v>836.51</v>
      </c>
      <c r="F222" s="1">
        <v>838.95</v>
      </c>
      <c r="G222" s="1">
        <v>838.95</v>
      </c>
      <c r="H222" s="58">
        <v>822.29</v>
      </c>
      <c r="I222" s="1"/>
      <c r="J222" s="1"/>
      <c r="K222" s="1"/>
      <c r="L222" s="1"/>
      <c r="M222" s="1"/>
      <c r="N222" s="1">
        <f t="shared" si="84"/>
        <v>6310.07</v>
      </c>
      <c r="P222" s="1">
        <f t="shared" si="80"/>
        <v>573.64272727272726</v>
      </c>
      <c r="Q222" s="1">
        <f t="shared" si="81"/>
        <v>-573.64272727272726</v>
      </c>
    </row>
    <row r="223" spans="1:17" x14ac:dyDescent="0.25">
      <c r="A223" s="114" t="s">
        <v>182</v>
      </c>
      <c r="B223" s="1">
        <v>11891.59</v>
      </c>
      <c r="C223" s="1">
        <v>11089.07</v>
      </c>
      <c r="D223" s="5">
        <v>11189.22</v>
      </c>
      <c r="E223" s="1">
        <v>11179.32</v>
      </c>
      <c r="F223" s="1">
        <v>10355.59</v>
      </c>
      <c r="G223" s="1">
        <v>2547</v>
      </c>
      <c r="H223" s="58">
        <v>10193.629999999999</v>
      </c>
      <c r="I223" s="1"/>
      <c r="J223" s="1"/>
      <c r="K223" s="1"/>
      <c r="L223" s="1"/>
      <c r="M223" s="1"/>
      <c r="N223" s="1">
        <f t="shared" si="84"/>
        <v>68445.42</v>
      </c>
      <c r="P223" s="1">
        <f t="shared" si="80"/>
        <v>6222.3109090909093</v>
      </c>
      <c r="Q223" s="1">
        <f t="shared" si="81"/>
        <v>-6222.3109090909093</v>
      </c>
    </row>
    <row r="224" spans="1:17" x14ac:dyDescent="0.25">
      <c r="A224" s="114" t="s">
        <v>183</v>
      </c>
      <c r="B224" s="1">
        <v>0</v>
      </c>
      <c r="C224" s="1">
        <v>0</v>
      </c>
      <c r="D224" s="5">
        <v>0</v>
      </c>
      <c r="E224" s="1">
        <v>0</v>
      </c>
      <c r="F224" s="1">
        <v>0</v>
      </c>
      <c r="G224" s="1">
        <v>0</v>
      </c>
      <c r="H224" s="58">
        <v>0</v>
      </c>
      <c r="I224" s="1"/>
      <c r="J224" s="1"/>
      <c r="K224" s="1"/>
      <c r="L224" s="1"/>
      <c r="M224" s="1"/>
      <c r="N224" s="1">
        <f t="shared" si="84"/>
        <v>0</v>
      </c>
      <c r="P224" s="1">
        <f t="shared" si="80"/>
        <v>0</v>
      </c>
      <c r="Q224" s="1">
        <f t="shared" si="81"/>
        <v>0</v>
      </c>
    </row>
    <row r="225" spans="1:17" x14ac:dyDescent="0.25">
      <c r="A225" s="114" t="s">
        <v>184</v>
      </c>
      <c r="B225" s="1">
        <v>2200</v>
      </c>
      <c r="C225" s="1">
        <v>545.54</v>
      </c>
      <c r="D225" s="5">
        <v>774.24</v>
      </c>
      <c r="E225" s="1">
        <v>36.65</v>
      </c>
      <c r="F225" s="1">
        <v>22.4</v>
      </c>
      <c r="G225" s="1">
        <v>149.9</v>
      </c>
      <c r="H225" s="58">
        <v>27.1</v>
      </c>
      <c r="I225" s="1"/>
      <c r="J225" s="1"/>
      <c r="K225" s="1"/>
      <c r="L225" s="1"/>
      <c r="M225" s="1"/>
      <c r="N225" s="1">
        <f t="shared" si="84"/>
        <v>3755.83</v>
      </c>
      <c r="P225" s="1">
        <f t="shared" si="80"/>
        <v>341.43909090909091</v>
      </c>
      <c r="Q225" s="1">
        <f t="shared" si="81"/>
        <v>-341.43909090909091</v>
      </c>
    </row>
    <row r="226" spans="1:17" x14ac:dyDescent="0.25">
      <c r="A226" s="114" t="s">
        <v>185</v>
      </c>
      <c r="B226" s="1">
        <v>0</v>
      </c>
      <c r="C226" s="1">
        <v>0</v>
      </c>
      <c r="D226" s="5">
        <v>0</v>
      </c>
      <c r="E226" s="1">
        <v>0</v>
      </c>
      <c r="F226" s="1">
        <v>0</v>
      </c>
      <c r="G226" s="1">
        <v>0</v>
      </c>
      <c r="H226" s="58">
        <v>0</v>
      </c>
      <c r="I226" s="1"/>
      <c r="J226" s="1"/>
      <c r="K226" s="1"/>
      <c r="L226" s="1"/>
      <c r="M226" s="1"/>
      <c r="N226" s="1">
        <f t="shared" si="84"/>
        <v>0</v>
      </c>
      <c r="O226" s="1"/>
      <c r="P226" s="1">
        <f t="shared" si="80"/>
        <v>0</v>
      </c>
      <c r="Q226" s="1">
        <f t="shared" si="81"/>
        <v>0</v>
      </c>
    </row>
    <row r="227" spans="1:17" x14ac:dyDescent="0.25">
      <c r="A227" s="114" t="s">
        <v>186</v>
      </c>
      <c r="B227" s="1">
        <v>0</v>
      </c>
      <c r="C227" s="1">
        <v>0</v>
      </c>
      <c r="D227" s="5">
        <v>0</v>
      </c>
      <c r="E227" s="1">
        <v>0</v>
      </c>
      <c r="F227" s="1">
        <v>0</v>
      </c>
      <c r="G227" s="1">
        <v>0</v>
      </c>
      <c r="H227" s="58">
        <v>0</v>
      </c>
      <c r="I227" s="1"/>
      <c r="J227" s="1"/>
      <c r="K227" s="1"/>
      <c r="L227" s="1"/>
      <c r="M227" s="1"/>
      <c r="N227" s="1">
        <f t="shared" si="84"/>
        <v>0</v>
      </c>
      <c r="P227" s="1">
        <f t="shared" si="80"/>
        <v>0</v>
      </c>
      <c r="Q227" s="1">
        <f t="shared" si="81"/>
        <v>0</v>
      </c>
    </row>
    <row r="228" spans="1:17" x14ac:dyDescent="0.25">
      <c r="A228" s="114" t="s">
        <v>187</v>
      </c>
      <c r="B228" s="1">
        <v>0</v>
      </c>
      <c r="C228" s="1">
        <v>0</v>
      </c>
      <c r="D228" s="5">
        <v>0</v>
      </c>
      <c r="E228" s="1">
        <v>0</v>
      </c>
      <c r="F228" s="1">
        <v>0</v>
      </c>
      <c r="G228" s="1">
        <v>0</v>
      </c>
      <c r="H228" s="58">
        <v>0</v>
      </c>
      <c r="I228" s="1"/>
      <c r="J228" s="1"/>
      <c r="K228" s="1"/>
      <c r="L228" s="1"/>
      <c r="M228" s="1"/>
      <c r="N228" s="1">
        <f t="shared" si="84"/>
        <v>0</v>
      </c>
      <c r="P228" s="1">
        <f t="shared" si="80"/>
        <v>0</v>
      </c>
      <c r="Q228" s="1">
        <f t="shared" si="81"/>
        <v>0</v>
      </c>
    </row>
    <row r="229" spans="1:17" x14ac:dyDescent="0.25">
      <c r="A229" s="114" t="s">
        <v>188</v>
      </c>
      <c r="B229" s="1">
        <v>0</v>
      </c>
      <c r="C229" s="1">
        <v>0</v>
      </c>
      <c r="D229" s="5">
        <v>0</v>
      </c>
      <c r="E229" s="1">
        <v>3888.88</v>
      </c>
      <c r="F229" s="1">
        <v>3888.88</v>
      </c>
      <c r="G229" s="1">
        <v>13152.25</v>
      </c>
      <c r="H229" s="58">
        <v>10269.51</v>
      </c>
      <c r="I229" s="1"/>
      <c r="J229" s="1"/>
      <c r="K229" s="1"/>
      <c r="L229" s="1"/>
      <c r="M229" s="1"/>
      <c r="N229" s="1">
        <f t="shared" si="84"/>
        <v>31199.520000000004</v>
      </c>
      <c r="P229" s="1">
        <f t="shared" si="80"/>
        <v>2836.32</v>
      </c>
      <c r="Q229" s="1">
        <f t="shared" si="81"/>
        <v>-2836.32</v>
      </c>
    </row>
    <row r="230" spans="1:17" x14ac:dyDescent="0.25">
      <c r="A230" s="114" t="s">
        <v>189</v>
      </c>
      <c r="B230" s="1">
        <v>0</v>
      </c>
      <c r="C230" s="1">
        <v>0</v>
      </c>
      <c r="D230" s="5">
        <v>0</v>
      </c>
      <c r="E230" s="1">
        <v>0</v>
      </c>
      <c r="F230" s="1">
        <v>0</v>
      </c>
      <c r="G230" s="1">
        <v>234.03</v>
      </c>
      <c r="H230" s="58">
        <v>0</v>
      </c>
      <c r="I230" s="1"/>
      <c r="J230" s="1"/>
      <c r="K230" s="1"/>
      <c r="L230" s="1"/>
      <c r="M230" s="1"/>
      <c r="N230" s="1">
        <f t="shared" si="84"/>
        <v>234.03</v>
      </c>
      <c r="O230" s="1"/>
      <c r="P230" s="1">
        <f t="shared" si="80"/>
        <v>21.275454545454547</v>
      </c>
      <c r="Q230" s="1">
        <f t="shared" si="81"/>
        <v>-21.275454545454547</v>
      </c>
    </row>
    <row r="231" spans="1:17" x14ac:dyDescent="0.25">
      <c r="A231" s="114" t="s">
        <v>190</v>
      </c>
      <c r="B231" s="1">
        <v>-1079.68</v>
      </c>
      <c r="C231" s="1">
        <v>2431.7199999999998</v>
      </c>
      <c r="D231" s="5">
        <v>1397.5</v>
      </c>
      <c r="E231" s="1">
        <f>1455.94+540.08</f>
        <v>1996.02</v>
      </c>
      <c r="F231" s="1">
        <v>4141.2299999999996</v>
      </c>
      <c r="G231" s="1">
        <v>1897.43</v>
      </c>
      <c r="H231" s="58">
        <v>1351.56</v>
      </c>
      <c r="I231" s="1"/>
      <c r="J231" s="1"/>
      <c r="K231" s="1"/>
      <c r="L231" s="1"/>
      <c r="M231" s="1"/>
      <c r="N231" s="1">
        <f t="shared" si="84"/>
        <v>12135.779999999999</v>
      </c>
      <c r="P231" s="1">
        <f t="shared" si="80"/>
        <v>1103.2527272727273</v>
      </c>
      <c r="Q231" s="1">
        <f t="shared" si="81"/>
        <v>-1103.2527272727273</v>
      </c>
    </row>
    <row r="232" spans="1:17" x14ac:dyDescent="0.25">
      <c r="A232" s="114" t="s">
        <v>191</v>
      </c>
      <c r="B232" s="1">
        <v>369.62</v>
      </c>
      <c r="C232" s="1">
        <v>337.5</v>
      </c>
      <c r="D232" s="5">
        <v>0</v>
      </c>
      <c r="E232" s="1">
        <v>269.62</v>
      </c>
      <c r="F232" s="1">
        <v>0</v>
      </c>
      <c r="G232" s="1">
        <v>0</v>
      </c>
      <c r="H232" s="58">
        <v>291.94</v>
      </c>
      <c r="I232" s="1"/>
      <c r="J232" s="1"/>
      <c r="K232" s="1"/>
      <c r="L232" s="1"/>
      <c r="M232" s="1"/>
      <c r="N232" s="1">
        <f t="shared" si="84"/>
        <v>1268.68</v>
      </c>
      <c r="P232" s="1">
        <f t="shared" si="80"/>
        <v>115.33454545454546</v>
      </c>
      <c r="Q232" s="1">
        <f t="shared" si="81"/>
        <v>-115.33454545454546</v>
      </c>
    </row>
    <row r="233" spans="1:17" x14ac:dyDescent="0.25">
      <c r="A233" s="114" t="s">
        <v>192</v>
      </c>
      <c r="B233" s="1">
        <v>5036.3900000000003</v>
      </c>
      <c r="C233" s="1">
        <v>4091.87</v>
      </c>
      <c r="D233" s="5">
        <v>4231.8500000000004</v>
      </c>
      <c r="E233" s="1">
        <v>1960.99</v>
      </c>
      <c r="F233" s="1">
        <v>3137.77</v>
      </c>
      <c r="G233" s="1">
        <v>2373.7600000000002</v>
      </c>
      <c r="H233" s="58">
        <v>2720.77</v>
      </c>
      <c r="I233" s="1"/>
      <c r="J233" s="1"/>
      <c r="K233" s="1"/>
      <c r="L233" s="1"/>
      <c r="M233" s="1"/>
      <c r="N233" s="1">
        <f t="shared" si="84"/>
        <v>23553.399999999998</v>
      </c>
      <c r="P233" s="1">
        <f t="shared" si="80"/>
        <v>2141.2181818181816</v>
      </c>
      <c r="Q233" s="1">
        <f t="shared" si="81"/>
        <v>-2141.2181818181816</v>
      </c>
    </row>
    <row r="234" spans="1:17" x14ac:dyDescent="0.25">
      <c r="A234" s="114" t="s">
        <v>193</v>
      </c>
      <c r="B234" s="1">
        <v>2582.41</v>
      </c>
      <c r="C234" s="1">
        <v>2701.31</v>
      </c>
      <c r="D234" s="5">
        <v>3298.35</v>
      </c>
      <c r="E234" s="1">
        <v>2350.81</v>
      </c>
      <c r="F234" s="1">
        <v>2499.0500000000002</v>
      </c>
      <c r="G234" s="1">
        <v>3334.89</v>
      </c>
      <c r="H234" s="58">
        <v>2438.75</v>
      </c>
      <c r="I234" s="1"/>
      <c r="J234" s="1"/>
      <c r="K234" s="1"/>
      <c r="L234" s="1"/>
      <c r="M234" s="1"/>
      <c r="N234" s="1">
        <f t="shared" si="84"/>
        <v>19205.57</v>
      </c>
      <c r="P234" s="1">
        <f t="shared" si="80"/>
        <v>1745.9609090909091</v>
      </c>
      <c r="Q234" s="1">
        <f t="shared" si="81"/>
        <v>-1745.9609090909091</v>
      </c>
    </row>
    <row r="235" spans="1:17" x14ac:dyDescent="0.25">
      <c r="A235" s="114" t="s">
        <v>194</v>
      </c>
      <c r="B235" s="1">
        <v>20798</v>
      </c>
      <c r="C235" s="1">
        <v>19135.740000000002</v>
      </c>
      <c r="D235" s="1">
        <v>17216.87</v>
      </c>
      <c r="E235" s="1">
        <v>10016.870000000001</v>
      </c>
      <c r="F235" s="1">
        <v>10016.870000000001</v>
      </c>
      <c r="G235" s="1">
        <v>10168.870000000001</v>
      </c>
      <c r="H235" s="58">
        <v>10016.870000000001</v>
      </c>
      <c r="I235" s="1"/>
      <c r="J235" s="1"/>
      <c r="K235" s="1"/>
      <c r="L235" s="1"/>
      <c r="M235" s="1"/>
      <c r="N235" s="1">
        <f t="shared" si="84"/>
        <v>97370.089999999982</v>
      </c>
      <c r="P235" s="1">
        <f>(N235-M235)/11</f>
        <v>8851.8263636363627</v>
      </c>
      <c r="Q235" s="1">
        <f>M235-P235</f>
        <v>-8851.8263636363627</v>
      </c>
    </row>
    <row r="236" spans="1:17" x14ac:dyDescent="0.25">
      <c r="A236" s="114" t="s">
        <v>195</v>
      </c>
      <c r="B236" s="1">
        <v>3253.33</v>
      </c>
      <c r="C236" s="1">
        <v>2533.33</v>
      </c>
      <c r="D236" s="5">
        <v>2533.33</v>
      </c>
      <c r="E236" s="1">
        <v>2533.33</v>
      </c>
      <c r="F236" s="1">
        <v>2533.33</v>
      </c>
      <c r="G236" s="1">
        <v>2533.33</v>
      </c>
      <c r="H236" s="58">
        <v>2533.33</v>
      </c>
      <c r="I236" s="1"/>
      <c r="J236" s="1"/>
      <c r="K236" s="1"/>
      <c r="L236" s="1"/>
      <c r="M236" s="1"/>
      <c r="N236" s="1">
        <f t="shared" si="84"/>
        <v>18453.309999999998</v>
      </c>
      <c r="P236" s="1">
        <f t="shared" si="80"/>
        <v>1677.5736363636361</v>
      </c>
      <c r="Q236" s="1">
        <f t="shared" si="81"/>
        <v>-1677.5736363636361</v>
      </c>
    </row>
    <row r="237" spans="1:17" x14ac:dyDescent="0.25">
      <c r="A237" s="114" t="s">
        <v>196</v>
      </c>
      <c r="B237" s="1">
        <v>1266.67</v>
      </c>
      <c r="C237" s="1">
        <v>1266.67</v>
      </c>
      <c r="D237" s="5">
        <v>6536.01</v>
      </c>
      <c r="E237" s="1">
        <v>3238.1</v>
      </c>
      <c r="F237" s="1">
        <v>3238.1</v>
      </c>
      <c r="G237" s="1">
        <v>-3590.69</v>
      </c>
      <c r="H237" s="58">
        <v>1535.07</v>
      </c>
      <c r="I237" s="1"/>
      <c r="J237" s="1"/>
      <c r="K237" s="1"/>
      <c r="L237" s="1"/>
      <c r="M237" s="1"/>
      <c r="N237" s="1">
        <f t="shared" si="84"/>
        <v>13489.93</v>
      </c>
      <c r="P237" s="1">
        <f t="shared" si="80"/>
        <v>1226.3572727272729</v>
      </c>
      <c r="Q237" s="1">
        <f t="shared" si="81"/>
        <v>-1226.3572727272729</v>
      </c>
    </row>
    <row r="238" spans="1:17" x14ac:dyDescent="0.25">
      <c r="A238" s="114" t="s">
        <v>197</v>
      </c>
      <c r="B238" s="1">
        <v>428.57</v>
      </c>
      <c r="C238" s="1">
        <v>428.57</v>
      </c>
      <c r="D238" s="5">
        <v>428.57</v>
      </c>
      <c r="E238" s="1">
        <v>428.57</v>
      </c>
      <c r="F238" s="1">
        <v>1580.99</v>
      </c>
      <c r="G238" s="1">
        <v>-895.84</v>
      </c>
      <c r="H238" s="58">
        <v>374.03</v>
      </c>
      <c r="I238" s="1"/>
      <c r="J238" s="1"/>
      <c r="K238" s="1"/>
      <c r="L238" s="1"/>
      <c r="M238" s="1"/>
      <c r="N238" s="1">
        <f t="shared" si="84"/>
        <v>2773.46</v>
      </c>
      <c r="P238" s="1">
        <f t="shared" si="80"/>
        <v>252.13272727272727</v>
      </c>
      <c r="Q238" s="1">
        <f t="shared" si="81"/>
        <v>-252.13272727272727</v>
      </c>
    </row>
    <row r="239" spans="1:17" x14ac:dyDescent="0.25">
      <c r="A239" s="114" t="s">
        <v>198</v>
      </c>
      <c r="B239" s="1">
        <v>2451.4299999999998</v>
      </c>
      <c r="C239" s="1">
        <v>2673.97</v>
      </c>
      <c r="D239" s="5">
        <v>2254.42</v>
      </c>
      <c r="E239" s="1">
        <v>0</v>
      </c>
      <c r="F239" s="1">
        <v>865.5</v>
      </c>
      <c r="G239" s="1">
        <v>3530.1</v>
      </c>
      <c r="H239" s="58">
        <v>2405.85</v>
      </c>
      <c r="I239" s="1"/>
      <c r="J239" s="1"/>
      <c r="K239" s="1"/>
      <c r="L239" s="1"/>
      <c r="M239" s="1"/>
      <c r="N239" s="1">
        <f t="shared" si="84"/>
        <v>14181.27</v>
      </c>
      <c r="P239" s="1">
        <f t="shared" si="80"/>
        <v>1289.2063636363637</v>
      </c>
      <c r="Q239" s="1">
        <f t="shared" si="81"/>
        <v>-1289.2063636363637</v>
      </c>
    </row>
    <row r="240" spans="1:17" x14ac:dyDescent="0.25">
      <c r="A240" s="114" t="s">
        <v>199</v>
      </c>
      <c r="B240" s="1">
        <v>0</v>
      </c>
      <c r="C240" s="1">
        <v>680.88</v>
      </c>
      <c r="D240" s="5">
        <v>4256.26</v>
      </c>
      <c r="E240" s="1">
        <v>998.65</v>
      </c>
      <c r="F240" s="1">
        <v>3059.3</v>
      </c>
      <c r="G240" s="1">
        <v>2520.4299999999998</v>
      </c>
      <c r="H240" s="58">
        <v>3606.37</v>
      </c>
      <c r="I240" s="1"/>
      <c r="J240" s="1"/>
      <c r="K240" s="1"/>
      <c r="L240" s="1"/>
      <c r="M240" s="1"/>
      <c r="N240" s="1">
        <f t="shared" si="84"/>
        <v>15121.89</v>
      </c>
      <c r="P240" s="1">
        <f t="shared" si="80"/>
        <v>1374.7172727272728</v>
      </c>
      <c r="Q240" s="1">
        <f t="shared" si="81"/>
        <v>-1374.7172727272728</v>
      </c>
    </row>
    <row r="241" spans="1:17" x14ac:dyDescent="0.25">
      <c r="A241" s="114" t="s">
        <v>445</v>
      </c>
      <c r="C241" s="1"/>
      <c r="D241" s="5"/>
      <c r="E241" s="1"/>
      <c r="F241" s="1"/>
      <c r="G241" s="1">
        <v>3196.84</v>
      </c>
      <c r="H241" s="58">
        <v>4200.3</v>
      </c>
      <c r="I241" s="1"/>
      <c r="J241" s="1"/>
      <c r="K241" s="1"/>
      <c r="L241" s="1"/>
      <c r="M241" s="1"/>
      <c r="N241" s="1">
        <f t="shared" si="84"/>
        <v>7397.14</v>
      </c>
      <c r="P241" s="1"/>
      <c r="Q241" s="1"/>
    </row>
    <row r="242" spans="1:17" x14ac:dyDescent="0.25">
      <c r="A242" s="114" t="s">
        <v>397</v>
      </c>
      <c r="B242" s="1">
        <v>3782</v>
      </c>
      <c r="C242" s="1">
        <v>3307.08</v>
      </c>
      <c r="D242" s="5">
        <v>1484.08</v>
      </c>
      <c r="E242" s="1">
        <v>3120.16</v>
      </c>
      <c r="F242" s="1">
        <v>1484.08</v>
      </c>
      <c r="G242" s="1">
        <v>10055.51</v>
      </c>
      <c r="H242" s="58">
        <v>11706.59</v>
      </c>
      <c r="I242" s="1"/>
      <c r="J242" s="1"/>
      <c r="K242" s="1"/>
      <c r="L242" s="1"/>
      <c r="M242" s="1"/>
      <c r="N242" s="1">
        <f t="shared" si="84"/>
        <v>34939.5</v>
      </c>
      <c r="P242" s="1"/>
      <c r="Q242" s="1"/>
    </row>
    <row r="243" spans="1:17" x14ac:dyDescent="0.25">
      <c r="A243" s="114" t="s">
        <v>440</v>
      </c>
      <c r="B243" s="1">
        <v>44000</v>
      </c>
      <c r="C243" s="1">
        <v>25000</v>
      </c>
      <c r="D243" s="5">
        <v>25000</v>
      </c>
      <c r="E243" s="1">
        <v>25000</v>
      </c>
      <c r="F243" s="1">
        <v>25000</v>
      </c>
      <c r="G243" s="1">
        <v>29428.57</v>
      </c>
      <c r="H243" s="58">
        <v>29428.57</v>
      </c>
      <c r="I243" s="1"/>
      <c r="J243" s="1"/>
      <c r="K243" s="1"/>
      <c r="L243" s="1"/>
      <c r="M243" s="1"/>
      <c r="N243" s="1">
        <f t="shared" si="84"/>
        <v>202857.14</v>
      </c>
      <c r="P243" s="1"/>
      <c r="Q243" s="1"/>
    </row>
    <row r="244" spans="1:17" x14ac:dyDescent="0.25">
      <c r="A244" s="114" t="s">
        <v>398</v>
      </c>
      <c r="B244" s="1">
        <v>7500</v>
      </c>
      <c r="C244" s="1">
        <v>7500</v>
      </c>
      <c r="D244" s="5">
        <v>8000</v>
      </c>
      <c r="E244" s="1">
        <v>7500</v>
      </c>
      <c r="F244" s="1">
        <v>7500</v>
      </c>
      <c r="G244" s="1">
        <v>7500</v>
      </c>
      <c r="H244" s="58">
        <v>7500</v>
      </c>
      <c r="I244" s="1"/>
      <c r="J244" s="1"/>
      <c r="K244" s="1"/>
      <c r="L244" s="1"/>
      <c r="M244" s="1"/>
      <c r="N244" s="1">
        <f t="shared" si="84"/>
        <v>53000</v>
      </c>
      <c r="P244" s="1"/>
      <c r="Q244" s="1"/>
    </row>
    <row r="245" spans="1:17" x14ac:dyDescent="0.25">
      <c r="A245" s="114" t="s">
        <v>441</v>
      </c>
      <c r="B245" s="1">
        <v>0</v>
      </c>
      <c r="C245" s="1">
        <v>1215</v>
      </c>
      <c r="D245" s="5">
        <v>0</v>
      </c>
      <c r="E245" s="1">
        <v>8257.5</v>
      </c>
      <c r="F245" s="1">
        <v>3982.5</v>
      </c>
      <c r="G245" s="1">
        <v>6097.5</v>
      </c>
      <c r="H245" s="58">
        <v>9922.5</v>
      </c>
      <c r="I245" s="1"/>
      <c r="J245" s="1"/>
      <c r="K245" s="1"/>
      <c r="L245" s="1"/>
      <c r="M245" s="1"/>
      <c r="N245" s="1">
        <f t="shared" si="84"/>
        <v>29475</v>
      </c>
      <c r="P245" s="1"/>
      <c r="Q245" s="1"/>
    </row>
    <row r="246" spans="1:17" x14ac:dyDescent="0.25">
      <c r="A246" s="114" t="s">
        <v>442</v>
      </c>
      <c r="B246" s="1">
        <v>109</v>
      </c>
      <c r="C246" s="1">
        <v>0</v>
      </c>
      <c r="D246" s="5">
        <v>0</v>
      </c>
      <c r="E246" s="1">
        <v>0</v>
      </c>
      <c r="F246" s="1">
        <v>0</v>
      </c>
      <c r="G246" s="1">
        <v>0</v>
      </c>
      <c r="H246" s="58">
        <v>161</v>
      </c>
      <c r="I246" s="1"/>
      <c r="J246" s="1"/>
      <c r="K246" s="1"/>
      <c r="L246" s="1"/>
      <c r="M246" s="1"/>
      <c r="N246" s="1">
        <f t="shared" si="84"/>
        <v>270</v>
      </c>
      <c r="P246" s="1"/>
      <c r="Q246" s="1"/>
    </row>
    <row r="247" spans="1:17" x14ac:dyDescent="0.25">
      <c r="A247" s="114" t="s">
        <v>443</v>
      </c>
      <c r="B247" s="1">
        <v>0</v>
      </c>
      <c r="C247" s="1">
        <v>0</v>
      </c>
      <c r="D247" s="5">
        <v>0</v>
      </c>
      <c r="E247" s="1">
        <v>0</v>
      </c>
      <c r="F247" s="1">
        <v>300</v>
      </c>
      <c r="G247" s="1">
        <v>0</v>
      </c>
      <c r="H247" s="58">
        <v>0</v>
      </c>
      <c r="I247" s="1"/>
      <c r="J247" s="1"/>
      <c r="K247" s="1"/>
      <c r="L247" s="1"/>
      <c r="M247" s="1"/>
      <c r="N247" s="1">
        <f t="shared" si="84"/>
        <v>300</v>
      </c>
      <c r="P247" s="1"/>
      <c r="Q247" s="1"/>
    </row>
    <row r="248" spans="1:17" x14ac:dyDescent="0.25">
      <c r="A248" s="114" t="s">
        <v>444</v>
      </c>
      <c r="B248" s="1">
        <v>0</v>
      </c>
      <c r="C248" s="1">
        <v>0</v>
      </c>
      <c r="D248" s="5">
        <v>0</v>
      </c>
      <c r="E248" s="1">
        <v>0</v>
      </c>
      <c r="F248" s="1">
        <v>0</v>
      </c>
      <c r="G248" s="1">
        <v>573.52</v>
      </c>
      <c r="H248" s="58">
        <v>0</v>
      </c>
      <c r="I248" s="1"/>
      <c r="J248" s="1"/>
      <c r="K248" s="1"/>
      <c r="L248" s="1"/>
      <c r="M248" s="1"/>
      <c r="N248" s="1">
        <f t="shared" si="84"/>
        <v>573.52</v>
      </c>
      <c r="P248" s="1"/>
      <c r="Q248" s="1"/>
    </row>
    <row r="249" spans="1:17" ht="15.75" thickBot="1" x14ac:dyDescent="0.3">
      <c r="A249" s="124" t="s">
        <v>200</v>
      </c>
      <c r="B249" s="39">
        <f t="shared" ref="B249:G249" si="85">SUM(B220:B248)</f>
        <v>111240.83</v>
      </c>
      <c r="C249" s="39">
        <f t="shared" si="85"/>
        <v>91232.06</v>
      </c>
      <c r="D249" s="39">
        <f t="shared" si="85"/>
        <v>94277.48000000001</v>
      </c>
      <c r="E249" s="39">
        <f t="shared" si="85"/>
        <v>88611.98000000001</v>
      </c>
      <c r="F249" s="39">
        <f t="shared" si="85"/>
        <v>89444.540000000008</v>
      </c>
      <c r="G249" s="39">
        <f t="shared" si="85"/>
        <v>103146.35</v>
      </c>
      <c r="H249" s="39">
        <f t="shared" ref="H249:M249" si="86">SUM(H220:H247)</f>
        <v>118506.03</v>
      </c>
      <c r="I249" s="39">
        <f t="shared" si="86"/>
        <v>0</v>
      </c>
      <c r="J249" s="39">
        <f t="shared" si="86"/>
        <v>0</v>
      </c>
      <c r="K249" s="39">
        <f t="shared" si="86"/>
        <v>0</v>
      </c>
      <c r="L249" s="39">
        <f t="shared" si="86"/>
        <v>0</v>
      </c>
      <c r="M249" s="39">
        <f t="shared" si="86"/>
        <v>0</v>
      </c>
      <c r="N249" s="39">
        <f>SUM(N220:N248)</f>
        <v>696459.27</v>
      </c>
      <c r="P249" s="39">
        <f t="shared" si="80"/>
        <v>63314.479090909095</v>
      </c>
      <c r="Q249" s="39">
        <f t="shared" si="81"/>
        <v>-63314.479090909095</v>
      </c>
    </row>
    <row r="250" spans="1:17" ht="15.75" thickTop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P250" s="1">
        <f t="shared" si="80"/>
        <v>0</v>
      </c>
      <c r="Q250" s="1">
        <f t="shared" si="81"/>
        <v>0</v>
      </c>
    </row>
    <row r="251" spans="1:17" x14ac:dyDescent="0.25">
      <c r="A251" s="124" t="s">
        <v>326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P251" s="1">
        <f t="shared" si="80"/>
        <v>0</v>
      </c>
      <c r="Q251" s="1">
        <f t="shared" si="81"/>
        <v>0</v>
      </c>
    </row>
    <row r="252" spans="1:17" x14ac:dyDescent="0.25">
      <c r="A252" s="114" t="s">
        <v>201</v>
      </c>
      <c r="B252" s="1">
        <v>12500</v>
      </c>
      <c r="C252" s="1">
        <v>12500</v>
      </c>
      <c r="D252" s="1">
        <v>12500</v>
      </c>
      <c r="E252" s="1">
        <v>12500</v>
      </c>
      <c r="F252" s="1">
        <v>12500</v>
      </c>
      <c r="G252" s="1">
        <v>12500</v>
      </c>
      <c r="H252" s="58">
        <v>12500</v>
      </c>
      <c r="I252" s="1"/>
      <c r="J252" s="1"/>
      <c r="K252" s="1"/>
      <c r="L252" s="1"/>
      <c r="M252" s="1"/>
      <c r="N252" s="1">
        <f>SUM(B252:M252)</f>
        <v>87500</v>
      </c>
      <c r="P252" s="1">
        <f t="shared" si="80"/>
        <v>7954.545454545455</v>
      </c>
      <c r="Q252" s="1">
        <f t="shared" si="81"/>
        <v>-7954.545454545455</v>
      </c>
    </row>
    <row r="253" spans="1:17" x14ac:dyDescent="0.25">
      <c r="A253" s="114" t="s">
        <v>202</v>
      </c>
      <c r="B253" s="1">
        <v>34022.5</v>
      </c>
      <c r="C253" s="1">
        <v>34265</v>
      </c>
      <c r="D253" s="1">
        <v>34451.25</v>
      </c>
      <c r="E253" s="1">
        <v>34845</v>
      </c>
      <c r="F253" s="1">
        <v>34565</v>
      </c>
      <c r="G253" s="1">
        <v>34906.25</v>
      </c>
      <c r="H253" s="58">
        <v>36258.75</v>
      </c>
      <c r="I253" s="1"/>
      <c r="J253" s="1"/>
      <c r="K253" s="1"/>
      <c r="L253" s="1"/>
      <c r="M253" s="1"/>
      <c r="N253" s="1">
        <f t="shared" ref="N253:N263" si="87">SUM(B253:M253)</f>
        <v>243313.75</v>
      </c>
      <c r="P253" s="1">
        <f t="shared" si="80"/>
        <v>22119.43181818182</v>
      </c>
      <c r="Q253" s="1">
        <f t="shared" si="81"/>
        <v>-22119.43181818182</v>
      </c>
    </row>
    <row r="254" spans="1:17" x14ac:dyDescent="0.25">
      <c r="A254" s="114" t="s">
        <v>399</v>
      </c>
      <c r="B254" s="1">
        <v>0</v>
      </c>
      <c r="C254" s="1">
        <v>0</v>
      </c>
      <c r="D254" s="1">
        <v>0</v>
      </c>
      <c r="E254" s="1">
        <v>0</v>
      </c>
      <c r="F254" s="1">
        <v>31752.38</v>
      </c>
      <c r="G254" s="1">
        <v>5625.56</v>
      </c>
      <c r="H254" s="58">
        <v>4645.78</v>
      </c>
      <c r="I254" s="1"/>
      <c r="J254" s="1"/>
      <c r="K254" s="1"/>
      <c r="L254" s="1"/>
      <c r="M254" s="1"/>
      <c r="N254" s="1">
        <f t="shared" si="87"/>
        <v>42023.72</v>
      </c>
      <c r="P254" s="1"/>
      <c r="Q254" s="1"/>
    </row>
    <row r="255" spans="1:17" x14ac:dyDescent="0.25">
      <c r="A255" s="114" t="s">
        <v>203</v>
      </c>
      <c r="B255" s="1">
        <v>6585.5</v>
      </c>
      <c r="C255" s="1">
        <v>10400.5</v>
      </c>
      <c r="D255" s="1">
        <v>6846.5</v>
      </c>
      <c r="E255" s="1">
        <v>18155</v>
      </c>
      <c r="F255" s="1">
        <v>23942.5</v>
      </c>
      <c r="G255" s="1">
        <v>23535</v>
      </c>
      <c r="H255" s="58">
        <v>27107.66</v>
      </c>
      <c r="I255" s="1"/>
      <c r="J255" s="1"/>
      <c r="K255" s="1"/>
      <c r="L255" s="1"/>
      <c r="M255" s="1"/>
      <c r="N255" s="1">
        <f t="shared" si="87"/>
        <v>116572.66</v>
      </c>
      <c r="P255" s="1"/>
      <c r="Q255" s="1"/>
    </row>
    <row r="256" spans="1:17" x14ac:dyDescent="0.25">
      <c r="A256" s="114" t="s">
        <v>204</v>
      </c>
      <c r="B256" s="1">
        <v>41021.9</v>
      </c>
      <c r="C256" s="1">
        <v>14206.22</v>
      </c>
      <c r="D256" s="1">
        <v>13266.54</v>
      </c>
      <c r="E256" s="1">
        <v>32043.16</v>
      </c>
      <c r="F256" s="1">
        <v>18002.150000000001</v>
      </c>
      <c r="G256" s="1">
        <v>18622.22</v>
      </c>
      <c r="H256" s="58">
        <v>12562.67</v>
      </c>
      <c r="I256" s="1"/>
      <c r="J256" s="1"/>
      <c r="K256" s="1"/>
      <c r="L256" s="1"/>
      <c r="M256" s="1"/>
      <c r="N256" s="1">
        <f t="shared" si="87"/>
        <v>149724.86000000002</v>
      </c>
      <c r="P256" s="1">
        <f t="shared" ref="P256:P268" si="88">(N256-M256)/11</f>
        <v>13611.35090909091</v>
      </c>
      <c r="Q256" s="1">
        <f t="shared" ref="Q256:Q268" si="89">M256-P256</f>
        <v>-13611.35090909091</v>
      </c>
    </row>
    <row r="257" spans="1:18" x14ac:dyDescent="0.25">
      <c r="A257" s="114" t="s">
        <v>205</v>
      </c>
      <c r="B257" s="1">
        <v>-12832.51</v>
      </c>
      <c r="C257" s="1">
        <v>-10798.17</v>
      </c>
      <c r="D257" s="1">
        <v>-12464.55</v>
      </c>
      <c r="E257" s="1">
        <v>-15499.01</v>
      </c>
      <c r="F257" s="1">
        <v>-24863.5</v>
      </c>
      <c r="G257" s="1">
        <v>-16320.72</v>
      </c>
      <c r="H257" s="58">
        <v>-14231.08</v>
      </c>
      <c r="I257" s="1"/>
      <c r="J257" s="1"/>
      <c r="K257" s="1"/>
      <c r="L257" s="1"/>
      <c r="M257" s="1"/>
      <c r="N257" s="1">
        <f t="shared" si="87"/>
        <v>-107009.54</v>
      </c>
      <c r="P257" s="1">
        <f t="shared" si="88"/>
        <v>-9728.14</v>
      </c>
      <c r="Q257" s="1">
        <f t="shared" si="89"/>
        <v>9728.14</v>
      </c>
    </row>
    <row r="258" spans="1:18" x14ac:dyDescent="0.25">
      <c r="A258" s="114" t="s">
        <v>400</v>
      </c>
      <c r="B258" s="1">
        <v>0</v>
      </c>
      <c r="C258" s="1">
        <v>0</v>
      </c>
      <c r="D258" s="1">
        <v>0.1</v>
      </c>
      <c r="E258" s="1">
        <v>0</v>
      </c>
      <c r="F258" s="1">
        <v>0</v>
      </c>
      <c r="G258" s="1">
        <v>49.5</v>
      </c>
      <c r="H258" s="58">
        <v>0</v>
      </c>
      <c r="I258" s="1"/>
      <c r="J258" s="1"/>
      <c r="K258" s="1"/>
      <c r="L258" s="1"/>
      <c r="M258" s="1"/>
      <c r="N258" s="1">
        <f t="shared" si="87"/>
        <v>49.6</v>
      </c>
      <c r="P258" s="1">
        <f t="shared" si="88"/>
        <v>4.5090909090909088</v>
      </c>
      <c r="Q258" s="1">
        <f t="shared" si="89"/>
        <v>-4.5090909090909088</v>
      </c>
    </row>
    <row r="259" spans="1:18" x14ac:dyDescent="0.25">
      <c r="A259" s="114" t="s">
        <v>401</v>
      </c>
      <c r="B259" s="1">
        <v>0</v>
      </c>
      <c r="C259" s="1">
        <v>0</v>
      </c>
      <c r="D259" s="1">
        <v>0</v>
      </c>
      <c r="E259" s="1">
        <v>0</v>
      </c>
      <c r="F259" s="1">
        <v>2087.77</v>
      </c>
      <c r="G259" s="1">
        <v>2250.1799999999998</v>
      </c>
      <c r="H259" s="58">
        <v>1925.15</v>
      </c>
      <c r="I259" s="1"/>
      <c r="J259" s="1"/>
      <c r="K259" s="1"/>
      <c r="L259" s="1"/>
      <c r="M259" s="1"/>
      <c r="N259" s="1">
        <f t="shared" si="87"/>
        <v>6263.1</v>
      </c>
      <c r="P259" s="1"/>
      <c r="Q259" s="1"/>
    </row>
    <row r="260" spans="1:18" x14ac:dyDescent="0.25">
      <c r="A260" s="114" t="s">
        <v>447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944.87</v>
      </c>
      <c r="H260" s="58">
        <v>896.84</v>
      </c>
      <c r="I260" s="1"/>
      <c r="J260" s="1"/>
      <c r="K260" s="1"/>
      <c r="L260" s="1"/>
      <c r="M260" s="1"/>
      <c r="N260" s="1">
        <f t="shared" si="87"/>
        <v>1841.71</v>
      </c>
      <c r="P260" s="1"/>
      <c r="Q260" s="1"/>
    </row>
    <row r="261" spans="1:18" x14ac:dyDescent="0.25">
      <c r="A261" s="114" t="s">
        <v>402</v>
      </c>
      <c r="B261" s="1">
        <v>0</v>
      </c>
      <c r="C261" s="1">
        <v>0</v>
      </c>
      <c r="D261" s="1">
        <v>0</v>
      </c>
      <c r="E261" s="1">
        <v>0</v>
      </c>
      <c r="F261" s="1">
        <v>7848.21</v>
      </c>
      <c r="G261" s="1">
        <v>7891.39</v>
      </c>
      <c r="H261" s="58">
        <v>2345.38</v>
      </c>
      <c r="I261" s="1"/>
      <c r="J261" s="1"/>
      <c r="K261" s="1"/>
      <c r="L261" s="1"/>
      <c r="M261" s="1"/>
      <c r="N261" s="1">
        <f t="shared" si="87"/>
        <v>18084.98</v>
      </c>
      <c r="P261" s="1"/>
      <c r="Q261" s="1"/>
    </row>
    <row r="262" spans="1:18" x14ac:dyDescent="0.25">
      <c r="A262" s="114" t="s">
        <v>446</v>
      </c>
      <c r="B262" s="1">
        <v>0</v>
      </c>
      <c r="C262" s="1">
        <v>0</v>
      </c>
      <c r="D262" s="1">
        <v>0</v>
      </c>
      <c r="E262" s="1">
        <v>0</v>
      </c>
      <c r="F262" s="1">
        <v>0</v>
      </c>
      <c r="G262" s="1">
        <v>2495.6</v>
      </c>
      <c r="H262" s="58">
        <v>7458.78</v>
      </c>
      <c r="I262" s="1"/>
      <c r="J262" s="1"/>
      <c r="K262" s="1"/>
      <c r="L262" s="1"/>
      <c r="M262" s="1"/>
      <c r="N262" s="1">
        <f t="shared" si="87"/>
        <v>9954.3799999999992</v>
      </c>
      <c r="P262" s="1"/>
      <c r="Q262" s="1"/>
    </row>
    <row r="263" spans="1:18" s="7" customFormat="1" x14ac:dyDescent="0.25">
      <c r="A263" s="114" t="s">
        <v>461</v>
      </c>
      <c r="B263" s="58">
        <v>0</v>
      </c>
      <c r="C263" s="58">
        <v>0</v>
      </c>
      <c r="D263" s="58">
        <v>0</v>
      </c>
      <c r="E263" s="58">
        <v>0</v>
      </c>
      <c r="F263" s="58">
        <v>0</v>
      </c>
      <c r="G263" s="58">
        <v>0</v>
      </c>
      <c r="H263" s="58">
        <v>3098.28</v>
      </c>
      <c r="I263" s="58"/>
      <c r="J263" s="58"/>
      <c r="K263" s="58"/>
      <c r="L263" s="58"/>
      <c r="M263" s="58"/>
      <c r="N263" s="58">
        <f t="shared" si="87"/>
        <v>3098.28</v>
      </c>
      <c r="P263" s="58"/>
      <c r="Q263" s="58"/>
    </row>
    <row r="264" spans="1:18" ht="15.75" thickBot="1" x14ac:dyDescent="0.3">
      <c r="A264" s="124" t="s">
        <v>206</v>
      </c>
      <c r="B264" s="45">
        <f t="shared" ref="B264:H264" si="90">SUM(B252:B263)</f>
        <v>81297.39</v>
      </c>
      <c r="C264" s="45">
        <f t="shared" si="90"/>
        <v>60573.55</v>
      </c>
      <c r="D264" s="45">
        <f t="shared" si="90"/>
        <v>54599.840000000004</v>
      </c>
      <c r="E264" s="45">
        <f t="shared" si="90"/>
        <v>82044.150000000009</v>
      </c>
      <c r="F264" s="45">
        <f t="shared" si="90"/>
        <v>105834.51000000001</v>
      </c>
      <c r="G264" s="45">
        <f t="shared" si="90"/>
        <v>92499.849999999991</v>
      </c>
      <c r="H264" s="45">
        <f t="shared" si="90"/>
        <v>94568.209999999992</v>
      </c>
      <c r="I264" s="45">
        <f t="shared" ref="I264:M264" si="91">SUM(I252:I262)</f>
        <v>0</v>
      </c>
      <c r="J264" s="45">
        <f t="shared" si="91"/>
        <v>0</v>
      </c>
      <c r="K264" s="45">
        <f t="shared" si="91"/>
        <v>0</v>
      </c>
      <c r="L264" s="45">
        <f t="shared" si="91"/>
        <v>0</v>
      </c>
      <c r="M264" s="45">
        <f t="shared" si="91"/>
        <v>0</v>
      </c>
      <c r="N264" s="45">
        <f>SUM(N252:N263)</f>
        <v>571417.49999999988</v>
      </c>
      <c r="P264" s="45">
        <f t="shared" si="88"/>
        <v>51947.045454545441</v>
      </c>
      <c r="Q264" s="45">
        <f t="shared" si="89"/>
        <v>-51947.045454545441</v>
      </c>
    </row>
    <row r="265" spans="1:18" ht="15.75" thickTop="1" x14ac:dyDescent="0.25">
      <c r="P265" s="2">
        <f t="shared" si="88"/>
        <v>0</v>
      </c>
      <c r="Q265" s="2">
        <f t="shared" si="89"/>
        <v>0</v>
      </c>
    </row>
    <row r="266" spans="1:18" s="38" customFormat="1" ht="15.75" thickBot="1" x14ac:dyDescent="0.3">
      <c r="A266" s="124" t="s">
        <v>207</v>
      </c>
      <c r="B266" s="39">
        <f t="shared" ref="B266:N266" si="92">B186-B199-B218-B249+B264</f>
        <v>65733.430000085849</v>
      </c>
      <c r="C266" s="39">
        <f t="shared" si="92"/>
        <v>62568.989999875965</v>
      </c>
      <c r="D266" s="39">
        <f t="shared" si="92"/>
        <v>190852.60999999283</v>
      </c>
      <c r="E266" s="39">
        <f t="shared" si="92"/>
        <v>-70572.119999890318</v>
      </c>
      <c r="F266" s="39">
        <f t="shared" si="92"/>
        <v>-203743.00000022177</v>
      </c>
      <c r="G266" s="39">
        <f t="shared" si="92"/>
        <v>-88358.510000069175</v>
      </c>
      <c r="H266" s="39">
        <f t="shared" si="92"/>
        <v>-303625.04000008584</v>
      </c>
      <c r="I266" s="39">
        <f t="shared" si="92"/>
        <v>0</v>
      </c>
      <c r="J266" s="39">
        <f t="shared" si="92"/>
        <v>0</v>
      </c>
      <c r="K266" s="39">
        <f t="shared" si="92"/>
        <v>0</v>
      </c>
      <c r="L266" s="39">
        <f t="shared" si="92"/>
        <v>0</v>
      </c>
      <c r="M266" s="39">
        <f t="shared" si="92"/>
        <v>0</v>
      </c>
      <c r="N266" s="39">
        <f t="shared" si="92"/>
        <v>-347143.64000031271</v>
      </c>
      <c r="P266" s="39">
        <f t="shared" si="88"/>
        <v>-31558.512727301157</v>
      </c>
      <c r="Q266" s="39">
        <f t="shared" si="89"/>
        <v>31558.512727301157</v>
      </c>
    </row>
    <row r="267" spans="1:18" ht="15.75" thickTop="1" x14ac:dyDescent="0.25">
      <c r="P267" s="2">
        <f t="shared" si="88"/>
        <v>0</v>
      </c>
      <c r="Q267" s="2">
        <f t="shared" si="89"/>
        <v>0</v>
      </c>
    </row>
    <row r="268" spans="1:18" x14ac:dyDescent="0.25">
      <c r="B268" s="46">
        <f t="shared" ref="B268:N268" si="93">+B74-B266</f>
        <v>3.3411197364330292E-8</v>
      </c>
      <c r="C268" s="46">
        <f t="shared" si="93"/>
        <v>-8.5987267084419727E-8</v>
      </c>
      <c r="D268" s="46">
        <f t="shared" si="93"/>
        <v>-6.2107574194669724E-8</v>
      </c>
      <c r="E268" s="46">
        <f t="shared" si="93"/>
        <v>-1.5135447029024363E-7</v>
      </c>
      <c r="F268" s="46">
        <f t="shared" si="93"/>
        <v>2.2526364773511887E-7</v>
      </c>
      <c r="G268" s="46">
        <f t="shared" si="93"/>
        <v>1.1888914741575718E-8</v>
      </c>
      <c r="H268" s="46">
        <f t="shared" si="93"/>
        <v>1.0972144082188606E-7</v>
      </c>
      <c r="I268" s="46">
        <f t="shared" si="93"/>
        <v>0</v>
      </c>
      <c r="J268" s="46">
        <f t="shared" si="93"/>
        <v>0</v>
      </c>
      <c r="K268" s="46">
        <f t="shared" si="93"/>
        <v>0</v>
      </c>
      <c r="L268" s="46">
        <f t="shared" si="93"/>
        <v>0</v>
      </c>
      <c r="M268" s="46">
        <f t="shared" si="93"/>
        <v>0</v>
      </c>
      <c r="N268" s="46">
        <f t="shared" si="93"/>
        <v>6.1758328229188919E-7</v>
      </c>
      <c r="P268" s="46">
        <f t="shared" si="88"/>
        <v>5.6143934753808106E-8</v>
      </c>
      <c r="Q268" s="46">
        <f t="shared" si="89"/>
        <v>-5.6143934753808106E-8</v>
      </c>
    </row>
    <row r="269" spans="1:18" x14ac:dyDescent="0.25">
      <c r="R269" s="7"/>
    </row>
    <row r="270" spans="1:18" x14ac:dyDescent="0.25">
      <c r="L270" s="46"/>
      <c r="R270" s="7"/>
    </row>
  </sheetData>
  <pageMargins left="0.5" right="0.5" top="0.5" bottom="0.45899934383202101" header="0.5" footer="0.5"/>
  <pageSetup scale="41" fitToHeight="0" orientation="landscape" r:id="rId1"/>
  <headerFooter scaleWithDoc="0" alignWithMargins="0"/>
  <rowBreaks count="5" manualBreakCount="5">
    <brk id="47" max="13" man="1"/>
    <brk id="100" max="13" man="1"/>
    <brk id="124" max="13" man="1"/>
    <brk id="186" max="13" man="1"/>
    <brk id="249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L117"/>
  <sheetViews>
    <sheetView view="pageBreakPreview" zoomScale="80" zoomScaleNormal="60" zoomScaleSheetLayoutView="80" workbookViewId="0">
      <pane ySplit="6" topLeftCell="A85" activePane="bottomLeft" state="frozen"/>
      <selection activeCell="M77" sqref="M77"/>
      <selection pane="bottomLeft" activeCell="A92" sqref="A92"/>
    </sheetView>
  </sheetViews>
  <sheetFormatPr defaultRowHeight="15" x14ac:dyDescent="0.25"/>
  <cols>
    <col min="1" max="1" width="81.42578125" bestFit="1" customWidth="1"/>
    <col min="2" max="2" width="38.140625" style="55" bestFit="1" customWidth="1"/>
    <col min="3" max="3" width="32.140625" style="55" bestFit="1" customWidth="1"/>
    <col min="4" max="4" width="29.85546875" style="55" bestFit="1" customWidth="1"/>
    <col min="5" max="5" width="24.140625" style="55" bestFit="1" customWidth="1"/>
    <col min="6" max="7" width="26.28515625" style="55" bestFit="1" customWidth="1"/>
    <col min="8" max="8" width="25.5703125" style="55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168" t="s">
        <v>332</v>
      </c>
      <c r="B1" s="168"/>
      <c r="C1" s="168"/>
      <c r="D1" s="168"/>
      <c r="E1" s="168"/>
      <c r="F1" s="168"/>
      <c r="G1" s="168"/>
      <c r="H1" s="168"/>
      <c r="I1" s="168"/>
    </row>
    <row r="2" spans="1:12" ht="36" x14ac:dyDescent="0.55000000000000004">
      <c r="A2" s="168" t="s">
        <v>331</v>
      </c>
      <c r="B2" s="168"/>
      <c r="C2" s="168"/>
      <c r="D2" s="168"/>
      <c r="E2" s="168"/>
      <c r="F2" s="168"/>
      <c r="G2" s="168"/>
      <c r="H2" s="168"/>
      <c r="I2" s="168"/>
    </row>
    <row r="3" spans="1:12" ht="36" x14ac:dyDescent="0.55000000000000004">
      <c r="A3" s="168" t="s">
        <v>267</v>
      </c>
      <c r="B3" s="168"/>
      <c r="C3" s="168"/>
      <c r="D3" s="168"/>
      <c r="E3" s="168"/>
      <c r="F3" s="168"/>
      <c r="G3" s="168"/>
      <c r="H3" s="168"/>
      <c r="I3" s="168"/>
    </row>
    <row r="4" spans="1:12" ht="36" x14ac:dyDescent="0.55000000000000004">
      <c r="A4" s="169">
        <v>43312</v>
      </c>
      <c r="B4" s="170"/>
      <c r="C4" s="170"/>
      <c r="D4" s="170"/>
      <c r="E4" s="170"/>
      <c r="F4" s="170"/>
      <c r="G4" s="170"/>
      <c r="H4" s="170"/>
      <c r="I4" s="170"/>
    </row>
    <row r="6" spans="1:12" s="88" customFormat="1" ht="30" customHeight="1" x14ac:dyDescent="0.5">
      <c r="A6" s="63"/>
      <c r="B6" s="68" t="s">
        <v>213</v>
      </c>
      <c r="C6" s="68" t="s">
        <v>215</v>
      </c>
      <c r="D6" s="68" t="s">
        <v>214</v>
      </c>
      <c r="E6" s="68" t="s">
        <v>216</v>
      </c>
      <c r="F6" s="68" t="s">
        <v>217</v>
      </c>
      <c r="G6" s="68" t="s">
        <v>412</v>
      </c>
      <c r="H6" s="68" t="s">
        <v>422</v>
      </c>
      <c r="I6" s="68" t="s">
        <v>208</v>
      </c>
      <c r="L6" s="90"/>
    </row>
    <row r="7" spans="1:12" s="88" customFormat="1" ht="42.75" customHeight="1" x14ac:dyDescent="0.5">
      <c r="A7" s="70" t="s">
        <v>62</v>
      </c>
      <c r="B7" s="62"/>
      <c r="C7" s="62"/>
      <c r="D7" s="62"/>
      <c r="E7" s="62"/>
      <c r="F7" s="62"/>
      <c r="G7" s="62"/>
      <c r="H7" s="62"/>
      <c r="I7" s="62"/>
      <c r="L7" s="90"/>
    </row>
    <row r="8" spans="1:12" s="88" customFormat="1" ht="42.75" customHeight="1" x14ac:dyDescent="0.5">
      <c r="A8" s="63" t="s">
        <v>218</v>
      </c>
      <c r="B8" s="72">
        <f>CNT!N103+CNT!N114</f>
        <v>767563258.41000009</v>
      </c>
      <c r="C8" s="72">
        <f>BPM!I8+BPM!I14</f>
        <v>49525249.450000003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f t="shared" ref="I8:I15" si="0">SUM(B8:H8)</f>
        <v>817088507.86000013</v>
      </c>
      <c r="L8" s="90"/>
    </row>
    <row r="9" spans="1:12" s="88" customFormat="1" ht="42.75" customHeight="1" x14ac:dyDescent="0.5">
      <c r="A9" s="63" t="s">
        <v>219</v>
      </c>
      <c r="B9" s="72">
        <f>CNT!N104+CNT!N115</f>
        <v>2531829349.5300002</v>
      </c>
      <c r="C9" s="72">
        <f>BPM!I9</f>
        <v>2315412.0999999996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f t="shared" si="0"/>
        <v>2534144761.6300001</v>
      </c>
      <c r="L9" s="90"/>
    </row>
    <row r="10" spans="1:12" s="88" customFormat="1" ht="42.75" customHeight="1" x14ac:dyDescent="0.5">
      <c r="A10" s="63" t="s">
        <v>220</v>
      </c>
      <c r="B10" s="72">
        <f>CNT!N105+CNT!N116</f>
        <v>11511703.640000001</v>
      </c>
      <c r="C10" s="72">
        <f>BPM!I10</f>
        <v>238623.53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f t="shared" si="0"/>
        <v>11750327.17</v>
      </c>
      <c r="L10" s="90"/>
    </row>
    <row r="11" spans="1:12" s="88" customFormat="1" ht="42.75" customHeight="1" x14ac:dyDescent="0.5">
      <c r="A11" s="63" t="s">
        <v>430</v>
      </c>
      <c r="B11" s="72">
        <f>CNT!N106+CNT!N117</f>
        <v>10463892.91</v>
      </c>
      <c r="C11" s="72">
        <f>BPM!I11</f>
        <v>12906.5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f t="shared" si="0"/>
        <v>10476799.41</v>
      </c>
      <c r="L11" s="90"/>
    </row>
    <row r="12" spans="1:12" s="88" customFormat="1" ht="42.75" customHeight="1" x14ac:dyDescent="0.5">
      <c r="A12" s="63" t="s">
        <v>221</v>
      </c>
      <c r="B12" s="72">
        <f>CNT!N110+CNT!N120</f>
        <v>3688720.97</v>
      </c>
      <c r="C12" s="72">
        <f>0</f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f t="shared" si="0"/>
        <v>3688720.97</v>
      </c>
      <c r="L12" s="90"/>
    </row>
    <row r="13" spans="1:12" s="88" customFormat="1" ht="42.75" customHeight="1" x14ac:dyDescent="0.5">
      <c r="A13" s="63" t="s">
        <v>222</v>
      </c>
      <c r="B13" s="72">
        <f>CNT!N121+CNT!N122</f>
        <v>455634.28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f t="shared" si="0"/>
        <v>455634.28</v>
      </c>
      <c r="L13" s="90"/>
    </row>
    <row r="14" spans="1:12" s="88" customFormat="1" ht="42.75" customHeight="1" x14ac:dyDescent="0.5">
      <c r="A14" s="63" t="s">
        <v>223</v>
      </c>
      <c r="B14" s="72">
        <f>CNT!N108+CNT!N109+CNT!N111+CNT!N112+CNT!N113+CNT!N107</f>
        <v>618161.03</v>
      </c>
      <c r="C14" s="72">
        <f>BPM!I12+BPM!I13</f>
        <v>2308174</v>
      </c>
      <c r="D14" s="72">
        <f>DEP!I17</f>
        <v>1376642.58</v>
      </c>
      <c r="E14" s="72">
        <v>0</v>
      </c>
      <c r="F14" s="72">
        <f>'BSC (Dome)'!I14</f>
        <v>526720.24</v>
      </c>
      <c r="G14" s="72">
        <v>0</v>
      </c>
      <c r="H14" s="72">
        <v>0</v>
      </c>
      <c r="I14" s="72">
        <f t="shared" si="0"/>
        <v>4829697.8500000006</v>
      </c>
      <c r="L14" s="90"/>
    </row>
    <row r="15" spans="1:12" s="88" customFormat="1" ht="42.75" customHeight="1" x14ac:dyDescent="0.5">
      <c r="A15" s="70" t="s">
        <v>224</v>
      </c>
      <c r="B15" s="76">
        <f t="shared" ref="B15:H15" si="1">SUM(B8:B14)</f>
        <v>3326130720.7700005</v>
      </c>
      <c r="C15" s="76">
        <f t="shared" si="1"/>
        <v>54400365.580000006</v>
      </c>
      <c r="D15" s="76">
        <f t="shared" si="1"/>
        <v>1376642.58</v>
      </c>
      <c r="E15" s="76">
        <f t="shared" si="1"/>
        <v>0</v>
      </c>
      <c r="F15" s="76">
        <f t="shared" si="1"/>
        <v>526720.24</v>
      </c>
      <c r="G15" s="76">
        <f t="shared" si="1"/>
        <v>0</v>
      </c>
      <c r="H15" s="76">
        <f t="shared" si="1"/>
        <v>0</v>
      </c>
      <c r="I15" s="76">
        <f t="shared" si="0"/>
        <v>3382434449.1700001</v>
      </c>
      <c r="L15" s="90"/>
    </row>
    <row r="16" spans="1:12" s="88" customFormat="1" ht="42.75" customHeight="1" x14ac:dyDescent="0.5">
      <c r="A16" s="63"/>
      <c r="B16" s="72"/>
      <c r="C16" s="72"/>
      <c r="D16" s="72"/>
      <c r="E16" s="72"/>
      <c r="F16" s="72"/>
      <c r="G16" s="72"/>
      <c r="H16" s="72"/>
      <c r="I16" s="72"/>
      <c r="L16" s="90"/>
    </row>
    <row r="17" spans="1:12" s="88" customFormat="1" ht="42.75" customHeight="1" x14ac:dyDescent="0.5">
      <c r="A17" s="70" t="s">
        <v>209</v>
      </c>
      <c r="B17" s="72"/>
      <c r="C17" s="72"/>
      <c r="D17" s="72"/>
      <c r="E17" s="72"/>
      <c r="F17" s="72"/>
      <c r="G17" s="72"/>
      <c r="H17" s="72"/>
      <c r="I17" s="72"/>
      <c r="L17" s="90"/>
    </row>
    <row r="18" spans="1:12" s="88" customFormat="1" ht="42.75" customHeight="1" x14ac:dyDescent="0.5">
      <c r="A18" s="63" t="s">
        <v>218</v>
      </c>
      <c r="B18" s="72">
        <f>'Comparative YTD 2018-2017 July'!B26</f>
        <v>766042163.7299999</v>
      </c>
      <c r="C18" s="72">
        <f>BPM!I18+BPM!I29</f>
        <v>49429244.659999996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f t="shared" ref="I18:I25" si="2">SUM(B18:H18)</f>
        <v>815471408.38999987</v>
      </c>
      <c r="L18" s="90"/>
    </row>
    <row r="19" spans="1:12" s="88" customFormat="1" ht="42.75" customHeight="1" x14ac:dyDescent="0.5">
      <c r="A19" s="63" t="s">
        <v>219</v>
      </c>
      <c r="B19" s="72">
        <f>'Comparative YTD 2018-2017 July'!B27</f>
        <v>2530114423.3800001</v>
      </c>
      <c r="C19" s="72">
        <f>BPM!I19+BPM!I30</f>
        <v>2132368.71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f t="shared" si="2"/>
        <v>2532246792.0900002</v>
      </c>
      <c r="L19" s="90"/>
    </row>
    <row r="20" spans="1:12" s="88" customFormat="1" ht="42.75" customHeight="1" x14ac:dyDescent="0.5">
      <c r="A20" s="63" t="s">
        <v>220</v>
      </c>
      <c r="B20" s="72">
        <f>'Comparative YTD 2018-2017 July'!B28</f>
        <v>11413528.729999999</v>
      </c>
      <c r="C20" s="72">
        <f>BPM!I20+BPM!I31</f>
        <v>224280.78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f t="shared" si="2"/>
        <v>11637809.509999998</v>
      </c>
      <c r="L20" s="90"/>
    </row>
    <row r="21" spans="1:12" s="88" customFormat="1" ht="42.75" customHeight="1" x14ac:dyDescent="0.5">
      <c r="A21" s="63" t="s">
        <v>430</v>
      </c>
      <c r="B21" s="72">
        <f>'Comparative YTD 2018-2017 July'!B29</f>
        <v>11041756.470000003</v>
      </c>
      <c r="C21" s="72">
        <f>BPM!I21</f>
        <v>8094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f t="shared" si="2"/>
        <v>11049850.470000003</v>
      </c>
      <c r="L21" s="90"/>
    </row>
    <row r="22" spans="1:12" s="88" customFormat="1" ht="42.75" customHeight="1" x14ac:dyDescent="0.5">
      <c r="A22" s="63" t="s">
        <v>221</v>
      </c>
      <c r="B22" s="72">
        <f>'Comparative YTD 2018-2017 July'!B30</f>
        <v>3623297.6100000003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f t="shared" si="2"/>
        <v>3623297.6100000003</v>
      </c>
      <c r="L22" s="90"/>
    </row>
    <row r="23" spans="1:12" s="88" customFormat="1" ht="42.75" customHeight="1" x14ac:dyDescent="0.5">
      <c r="A23" s="63" t="s">
        <v>222</v>
      </c>
      <c r="B23" s="72">
        <f>'Comparative YTD 2018-2017 July'!B31</f>
        <v>342980.76</v>
      </c>
      <c r="C23" s="72">
        <f>BPM!I27</f>
        <v>350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f t="shared" si="2"/>
        <v>343330.76</v>
      </c>
      <c r="L23" s="90"/>
    </row>
    <row r="24" spans="1:12" s="88" customFormat="1" ht="42.75" customHeight="1" x14ac:dyDescent="0.5">
      <c r="A24" s="63" t="s">
        <v>223</v>
      </c>
      <c r="B24" s="72">
        <f>'Comparative YTD 2018-2017 July'!B32</f>
        <v>-275855.05000000086</v>
      </c>
      <c r="C24" s="72">
        <f>BPM!I22+BPM!I23+BPM!I24+BPM!I32+BPM!I33+BPM!I26+BPM!I28+BPM!I25</f>
        <v>1864212.66</v>
      </c>
      <c r="D24" s="72">
        <f>DEP!I23</f>
        <v>167151.18</v>
      </c>
      <c r="E24" s="72">
        <v>0</v>
      </c>
      <c r="F24" s="72">
        <f>'BSC (Dome)'!I17</f>
        <v>1648.2199999999998</v>
      </c>
      <c r="G24" s="72">
        <v>0</v>
      </c>
      <c r="H24" s="72">
        <v>0</v>
      </c>
      <c r="I24" s="72">
        <f t="shared" si="2"/>
        <v>1757157.0099999988</v>
      </c>
      <c r="L24" s="90"/>
    </row>
    <row r="25" spans="1:12" s="88" customFormat="1" ht="42.75" customHeight="1" x14ac:dyDescent="0.5">
      <c r="A25" s="70" t="s">
        <v>225</v>
      </c>
      <c r="B25" s="76">
        <f t="shared" ref="B25:H25" si="3">SUM(B18:B24)</f>
        <v>3322302295.6300001</v>
      </c>
      <c r="C25" s="76">
        <f t="shared" si="3"/>
        <v>53658550.809999995</v>
      </c>
      <c r="D25" s="76">
        <f t="shared" si="3"/>
        <v>167151.18</v>
      </c>
      <c r="E25" s="76">
        <f t="shared" si="3"/>
        <v>0</v>
      </c>
      <c r="F25" s="76">
        <f t="shared" si="3"/>
        <v>1648.2199999999998</v>
      </c>
      <c r="G25" s="76">
        <f t="shared" si="3"/>
        <v>0</v>
      </c>
      <c r="H25" s="76">
        <f t="shared" si="3"/>
        <v>0</v>
      </c>
      <c r="I25" s="76">
        <f t="shared" si="2"/>
        <v>3376129645.8399997</v>
      </c>
      <c r="L25" s="90"/>
    </row>
    <row r="26" spans="1:12" s="88" customFormat="1" ht="42.75" customHeight="1" x14ac:dyDescent="0.5">
      <c r="A26" s="63"/>
      <c r="B26" s="72"/>
      <c r="C26" s="72"/>
      <c r="D26" s="72"/>
      <c r="E26" s="72"/>
      <c r="F26" s="72"/>
      <c r="G26" s="72"/>
      <c r="H26" s="72"/>
      <c r="I26" s="72"/>
      <c r="L26" s="90"/>
    </row>
    <row r="27" spans="1:12" s="88" customFormat="1" ht="42.75" customHeight="1" thickBot="1" x14ac:dyDescent="0.55000000000000004">
      <c r="A27" s="70" t="s">
        <v>212</v>
      </c>
      <c r="B27" s="82">
        <f t="shared" ref="B27:H27" si="4">B15-B25</f>
        <v>3828425.1400003433</v>
      </c>
      <c r="C27" s="82">
        <f t="shared" si="4"/>
        <v>741814.77000001073</v>
      </c>
      <c r="D27" s="82">
        <f t="shared" si="4"/>
        <v>1209491.4000000001</v>
      </c>
      <c r="E27" s="82">
        <f t="shared" si="4"/>
        <v>0</v>
      </c>
      <c r="F27" s="82">
        <f t="shared" si="4"/>
        <v>525072.02</v>
      </c>
      <c r="G27" s="82">
        <f t="shared" si="4"/>
        <v>0</v>
      </c>
      <c r="H27" s="82">
        <f t="shared" si="4"/>
        <v>0</v>
      </c>
      <c r="I27" s="82">
        <f>SUM(B27:H27)</f>
        <v>6304803.330000354</v>
      </c>
      <c r="L27" s="90"/>
    </row>
    <row r="28" spans="1:12" s="88" customFormat="1" ht="42.75" customHeight="1" x14ac:dyDescent="0.5">
      <c r="A28" s="63"/>
      <c r="B28" s="72"/>
      <c r="C28" s="72"/>
      <c r="D28" s="72"/>
      <c r="E28" s="72"/>
      <c r="F28" s="72"/>
      <c r="G28" s="72"/>
      <c r="H28" s="72"/>
      <c r="I28" s="72"/>
      <c r="L28" s="90"/>
    </row>
    <row r="29" spans="1:12" s="88" customFormat="1" ht="42.75" customHeight="1" x14ac:dyDescent="0.5">
      <c r="A29" s="70" t="s">
        <v>210</v>
      </c>
      <c r="B29" s="72"/>
      <c r="C29" s="72"/>
      <c r="D29" s="72"/>
      <c r="E29" s="72"/>
      <c r="F29" s="72"/>
      <c r="G29" s="72"/>
      <c r="H29" s="72"/>
      <c r="I29" s="72"/>
      <c r="L29" s="90"/>
    </row>
    <row r="30" spans="1:12" s="88" customFormat="1" ht="42.75" customHeight="1" x14ac:dyDescent="0.5">
      <c r="A30" s="63"/>
      <c r="B30" s="72"/>
      <c r="C30" s="72"/>
      <c r="D30" s="72"/>
      <c r="E30" s="72"/>
      <c r="F30" s="72"/>
      <c r="G30" s="72"/>
      <c r="H30" s="72"/>
      <c r="I30" s="72"/>
      <c r="L30" s="90"/>
    </row>
    <row r="31" spans="1:12" s="88" customFormat="1" ht="42.75" customHeight="1" x14ac:dyDescent="0.5">
      <c r="A31" s="70" t="s">
        <v>226</v>
      </c>
      <c r="B31" s="72"/>
      <c r="C31" s="72"/>
      <c r="D31" s="72"/>
      <c r="E31" s="72"/>
      <c r="F31" s="72"/>
      <c r="G31" s="72"/>
      <c r="H31" s="72"/>
      <c r="I31" s="72"/>
      <c r="L31" s="90"/>
    </row>
    <row r="32" spans="1:12" s="88" customFormat="1" ht="42.75" customHeight="1" x14ac:dyDescent="0.5">
      <c r="A32" s="63" t="s">
        <v>227</v>
      </c>
      <c r="B32" s="72">
        <f>CNT!N188</f>
        <v>2166123.16</v>
      </c>
      <c r="C32" s="72">
        <v>0</v>
      </c>
      <c r="D32" s="72">
        <f>DEP!I29</f>
        <v>60387.05</v>
      </c>
      <c r="E32" s="72">
        <v>0</v>
      </c>
      <c r="F32" s="72">
        <f>'BSC (Dome)'!I24+'BSC (Dome)'!I31</f>
        <v>194041.93</v>
      </c>
      <c r="G32" s="72">
        <v>0</v>
      </c>
      <c r="H32" s="72">
        <v>0</v>
      </c>
      <c r="I32" s="72">
        <f t="shared" ref="I32:I41" si="5">SUM(B32:H32)</f>
        <v>2420552.14</v>
      </c>
      <c r="L32" s="90"/>
    </row>
    <row r="33" spans="1:12" s="88" customFormat="1" ht="42.75" customHeight="1" x14ac:dyDescent="0.5">
      <c r="A33" s="63" t="s">
        <v>228</v>
      </c>
      <c r="B33" s="72">
        <f>CNT!N190</f>
        <v>17841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f t="shared" si="5"/>
        <v>17841</v>
      </c>
      <c r="L33" s="90"/>
    </row>
    <row r="34" spans="1:12" s="88" customFormat="1" ht="42.75" customHeight="1" x14ac:dyDescent="0.5">
      <c r="A34" s="63" t="s">
        <v>229</v>
      </c>
      <c r="B34" s="72">
        <f>CNT!N191</f>
        <v>190591.46999999997</v>
      </c>
      <c r="C34" s="72">
        <v>0</v>
      </c>
      <c r="D34" s="72">
        <f>DEP!I30</f>
        <v>6724.4800000000014</v>
      </c>
      <c r="E34" s="72">
        <v>0</v>
      </c>
      <c r="F34" s="72">
        <f>'BSC (Dome)'!I25</f>
        <v>12841.160000000002</v>
      </c>
      <c r="G34" s="72">
        <v>0</v>
      </c>
      <c r="H34" s="72">
        <v>0</v>
      </c>
      <c r="I34" s="72">
        <f t="shared" si="5"/>
        <v>210157.11</v>
      </c>
      <c r="L34" s="90"/>
    </row>
    <row r="35" spans="1:12" s="88" customFormat="1" ht="42.75" customHeight="1" x14ac:dyDescent="0.5">
      <c r="A35" s="63" t="s">
        <v>230</v>
      </c>
      <c r="B35" s="72">
        <f>CNT!N192</f>
        <v>192387.5</v>
      </c>
      <c r="C35" s="72">
        <v>0</v>
      </c>
      <c r="D35" s="72">
        <f>DEP!I31</f>
        <v>21968.63</v>
      </c>
      <c r="E35" s="72">
        <v>0</v>
      </c>
      <c r="F35" s="72">
        <f>'BSC (Dome)'!I26</f>
        <v>35601.269999999997</v>
      </c>
      <c r="G35" s="72">
        <v>0</v>
      </c>
      <c r="H35" s="72">
        <v>0</v>
      </c>
      <c r="I35" s="72">
        <f t="shared" si="5"/>
        <v>249957.4</v>
      </c>
      <c r="L35" s="90"/>
    </row>
    <row r="36" spans="1:12" s="88" customFormat="1" ht="42.75" customHeight="1" x14ac:dyDescent="0.5">
      <c r="A36" s="63" t="s">
        <v>231</v>
      </c>
      <c r="B36" s="72">
        <f>CNT!N193</f>
        <v>27742.770000000004</v>
      </c>
      <c r="C36" s="72">
        <v>0</v>
      </c>
      <c r="D36" s="72">
        <f>DEP!I32</f>
        <v>1518.86</v>
      </c>
      <c r="E36" s="72">
        <v>0</v>
      </c>
      <c r="F36" s="72">
        <f>'BSC (Dome)'!I27</f>
        <v>2102.1</v>
      </c>
      <c r="G36" s="72">
        <v>0</v>
      </c>
      <c r="H36" s="72">
        <v>0</v>
      </c>
      <c r="I36" s="72">
        <f t="shared" si="5"/>
        <v>31363.730000000003</v>
      </c>
      <c r="L36" s="90"/>
    </row>
    <row r="37" spans="1:12" s="88" customFormat="1" ht="42.75" customHeight="1" x14ac:dyDescent="0.5">
      <c r="A37" s="63" t="s">
        <v>232</v>
      </c>
      <c r="B37" s="72">
        <f>CNT!N194</f>
        <v>63035</v>
      </c>
      <c r="C37" s="72">
        <v>0</v>
      </c>
      <c r="D37" s="72">
        <f>DEP!I33</f>
        <v>2400</v>
      </c>
      <c r="E37" s="72">
        <v>0</v>
      </c>
      <c r="F37" s="72">
        <f>'BSC (Dome)'!I29</f>
        <v>3250</v>
      </c>
      <c r="G37" s="72">
        <v>0</v>
      </c>
      <c r="H37" s="72">
        <v>0</v>
      </c>
      <c r="I37" s="72">
        <f t="shared" si="5"/>
        <v>68685</v>
      </c>
      <c r="L37" s="90"/>
    </row>
    <row r="38" spans="1:12" s="88" customFormat="1" ht="42.75" customHeight="1" x14ac:dyDescent="0.5">
      <c r="A38" s="63" t="s">
        <v>309</v>
      </c>
      <c r="B38" s="72">
        <f>CNT!N196+CNT!N195+CNT!N220</f>
        <v>15452.73</v>
      </c>
      <c r="C38" s="72">
        <v>0</v>
      </c>
      <c r="D38" s="72">
        <f>DEP!I34</f>
        <v>927.56999999999994</v>
      </c>
      <c r="E38" s="72">
        <v>0</v>
      </c>
      <c r="F38" s="72">
        <f>'BSC (Dome)'!I28+'BSC (Dome)'!I30</f>
        <v>2439.02</v>
      </c>
      <c r="G38" s="72">
        <v>0</v>
      </c>
      <c r="H38" s="72">
        <v>0</v>
      </c>
      <c r="I38" s="72">
        <f t="shared" si="5"/>
        <v>18819.32</v>
      </c>
      <c r="L38" s="90"/>
    </row>
    <row r="39" spans="1:12" s="88" customFormat="1" ht="42.75" customHeight="1" x14ac:dyDescent="0.5">
      <c r="A39" s="63" t="s">
        <v>233</v>
      </c>
      <c r="B39" s="72">
        <f>CNT!N197+CNT!N198</f>
        <v>5061.74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f t="shared" si="5"/>
        <v>5061.74</v>
      </c>
      <c r="L39" s="90"/>
    </row>
    <row r="40" spans="1:12" s="88" customFormat="1" ht="42.75" customHeight="1" x14ac:dyDescent="0.5">
      <c r="A40" s="63" t="s">
        <v>248</v>
      </c>
      <c r="B40" s="72">
        <f>CNT!N221</f>
        <v>35648.720000000001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f t="shared" si="5"/>
        <v>35648.720000000001</v>
      </c>
      <c r="L40" s="90"/>
    </row>
    <row r="41" spans="1:12" s="88" customFormat="1" ht="42.75" customHeight="1" x14ac:dyDescent="0.5">
      <c r="A41" s="70" t="s">
        <v>234</v>
      </c>
      <c r="B41" s="76">
        <f t="shared" ref="B41:H41" si="6">SUM(B32:B40)</f>
        <v>2713884.0900000003</v>
      </c>
      <c r="C41" s="76">
        <f t="shared" si="6"/>
        <v>0</v>
      </c>
      <c r="D41" s="76">
        <f t="shared" si="6"/>
        <v>93926.590000000011</v>
      </c>
      <c r="E41" s="76">
        <f t="shared" si="6"/>
        <v>0</v>
      </c>
      <c r="F41" s="76">
        <f t="shared" si="6"/>
        <v>250275.47999999998</v>
      </c>
      <c r="G41" s="76">
        <f t="shared" si="6"/>
        <v>0</v>
      </c>
      <c r="H41" s="76">
        <f t="shared" si="6"/>
        <v>0</v>
      </c>
      <c r="I41" s="76">
        <f t="shared" si="5"/>
        <v>3058086.16</v>
      </c>
      <c r="L41" s="90"/>
    </row>
    <row r="42" spans="1:12" s="88" customFormat="1" ht="42.75" customHeight="1" x14ac:dyDescent="0.5">
      <c r="A42" s="63"/>
      <c r="B42" s="72"/>
      <c r="C42" s="72"/>
      <c r="D42" s="72"/>
      <c r="E42" s="72"/>
      <c r="F42" s="72"/>
      <c r="G42" s="72"/>
      <c r="H42" s="72"/>
      <c r="I42" s="72"/>
      <c r="L42" s="90"/>
    </row>
    <row r="43" spans="1:12" s="88" customFormat="1" ht="42.75" customHeight="1" x14ac:dyDescent="0.5">
      <c r="A43" s="70" t="s">
        <v>235</v>
      </c>
      <c r="B43" s="72"/>
      <c r="C43" s="72"/>
      <c r="D43" s="72"/>
      <c r="E43" s="72"/>
      <c r="F43" s="72"/>
      <c r="G43" s="72"/>
      <c r="H43" s="72"/>
      <c r="I43" s="72"/>
      <c r="L43" s="90"/>
    </row>
    <row r="44" spans="1:12" s="88" customFormat="1" ht="42.75" customHeight="1" x14ac:dyDescent="0.5">
      <c r="A44" s="63" t="s">
        <v>236</v>
      </c>
      <c r="B44" s="72">
        <f>CNT!N201+CNT!N202</f>
        <v>239400</v>
      </c>
      <c r="C44" s="72">
        <v>0</v>
      </c>
      <c r="D44" s="72">
        <f>DEP!I38</f>
        <v>262500</v>
      </c>
      <c r="E44" s="72">
        <v>0</v>
      </c>
      <c r="F44" s="72">
        <f>'BSC (Dome)'!I35</f>
        <v>7000</v>
      </c>
      <c r="G44" s="72">
        <v>0</v>
      </c>
      <c r="H44" s="72">
        <v>0</v>
      </c>
      <c r="I44" s="72">
        <f t="shared" ref="I44:I66" si="7">SUM(B44:H44)</f>
        <v>508900</v>
      </c>
      <c r="L44" s="90"/>
    </row>
    <row r="45" spans="1:12" s="88" customFormat="1" ht="42.75" customHeight="1" x14ac:dyDescent="0.5">
      <c r="A45" s="63" t="s">
        <v>237</v>
      </c>
      <c r="B45" s="72">
        <f>CNT!N203</f>
        <v>4678.3200000000015</v>
      </c>
      <c r="C45" s="72">
        <v>0</v>
      </c>
      <c r="D45" s="72">
        <f>DEP!I39</f>
        <v>47081.99</v>
      </c>
      <c r="E45" s="72">
        <v>0</v>
      </c>
      <c r="F45" s="72">
        <f>'BSC (Dome)'!I37</f>
        <v>4529</v>
      </c>
      <c r="G45" s="72">
        <v>0</v>
      </c>
      <c r="H45" s="72">
        <v>0</v>
      </c>
      <c r="I45" s="72">
        <f t="shared" si="7"/>
        <v>56289.31</v>
      </c>
      <c r="L45" s="90"/>
    </row>
    <row r="46" spans="1:12" s="88" customFormat="1" ht="42.75" customHeight="1" x14ac:dyDescent="0.5">
      <c r="A46" s="63" t="s">
        <v>238</v>
      </c>
      <c r="B46" s="72">
        <f>CNT!N204</f>
        <v>8713.74</v>
      </c>
      <c r="C46" s="72">
        <v>0</v>
      </c>
      <c r="D46" s="72">
        <v>0</v>
      </c>
      <c r="E46" s="72">
        <v>0</v>
      </c>
      <c r="F46" s="72">
        <f>'BSC (Dome)'!I36</f>
        <v>59030.46</v>
      </c>
      <c r="G46" s="72">
        <v>0</v>
      </c>
      <c r="H46" s="72">
        <v>0</v>
      </c>
      <c r="I46" s="72">
        <f t="shared" si="7"/>
        <v>67744.2</v>
      </c>
      <c r="L46" s="90"/>
    </row>
    <row r="47" spans="1:12" s="88" customFormat="1" ht="42.75" customHeight="1" x14ac:dyDescent="0.5">
      <c r="A47" s="63" t="s">
        <v>339</v>
      </c>
      <c r="B47" s="72">
        <f>CNT!N205</f>
        <v>579.03</v>
      </c>
      <c r="C47" s="72">
        <v>0</v>
      </c>
      <c r="D47" s="72">
        <v>0</v>
      </c>
      <c r="E47" s="72">
        <v>0</v>
      </c>
      <c r="F47" s="72">
        <f>'BSC (Dome)'!I38</f>
        <v>1532.02</v>
      </c>
      <c r="G47" s="72">
        <v>0</v>
      </c>
      <c r="H47" s="72">
        <v>0</v>
      </c>
      <c r="I47" s="72">
        <f t="shared" si="7"/>
        <v>2111.0500000000002</v>
      </c>
      <c r="L47" s="90"/>
    </row>
    <row r="48" spans="1:12" s="88" customFormat="1" ht="42.75" customHeight="1" x14ac:dyDescent="0.5">
      <c r="A48" s="63" t="s">
        <v>292</v>
      </c>
      <c r="B48" s="72">
        <v>0</v>
      </c>
      <c r="C48" s="72">
        <v>0</v>
      </c>
      <c r="D48" s="72">
        <f>DEP!I40</f>
        <v>1050</v>
      </c>
      <c r="E48" s="72">
        <v>0</v>
      </c>
      <c r="F48" s="72">
        <f>'BSC (Dome)'!I39</f>
        <v>4253.3200000000006</v>
      </c>
      <c r="G48" s="72">
        <v>0</v>
      </c>
      <c r="H48" s="72">
        <v>0</v>
      </c>
      <c r="I48" s="72">
        <f t="shared" si="7"/>
        <v>5303.3200000000006</v>
      </c>
      <c r="L48" s="90"/>
    </row>
    <row r="49" spans="1:12" s="88" customFormat="1" ht="42.75" customHeight="1" x14ac:dyDescent="0.5">
      <c r="A49" s="63" t="s">
        <v>458</v>
      </c>
      <c r="B49" s="72">
        <f>CNT!N206</f>
        <v>19715</v>
      </c>
      <c r="C49" s="72">
        <v>0</v>
      </c>
      <c r="D49" s="72">
        <f>DEP!I41</f>
        <v>16314.35</v>
      </c>
      <c r="E49" s="72">
        <v>0</v>
      </c>
      <c r="F49" s="72">
        <f>'BSC (Dome)'!I40</f>
        <v>0</v>
      </c>
      <c r="G49" s="72">
        <v>0</v>
      </c>
      <c r="H49" s="72">
        <v>0</v>
      </c>
      <c r="I49" s="72">
        <f t="shared" si="7"/>
        <v>36029.35</v>
      </c>
      <c r="L49" s="90"/>
    </row>
    <row r="50" spans="1:12" s="88" customFormat="1" ht="42.75" customHeight="1" x14ac:dyDescent="0.5">
      <c r="A50" s="63" t="s">
        <v>380</v>
      </c>
      <c r="B50" s="72">
        <f>CNT!N207+CNT!N215</f>
        <v>85445.01999999999</v>
      </c>
      <c r="C50" s="72">
        <f>BPM!I40</f>
        <v>2719.73</v>
      </c>
      <c r="D50" s="72">
        <f>DEP!I42</f>
        <v>18809.309999999998</v>
      </c>
      <c r="E50" s="72">
        <v>0</v>
      </c>
      <c r="F50" s="72">
        <f>'BSC (Dome)'!I41</f>
        <v>2914.58</v>
      </c>
      <c r="G50" s="72">
        <v>0</v>
      </c>
      <c r="H50" s="72">
        <v>0</v>
      </c>
      <c r="I50" s="72">
        <f t="shared" si="7"/>
        <v>109888.63999999998</v>
      </c>
      <c r="L50" s="90"/>
    </row>
    <row r="51" spans="1:12" s="88" customFormat="1" ht="42.75" customHeight="1" x14ac:dyDescent="0.5">
      <c r="A51" s="63" t="s">
        <v>378</v>
      </c>
      <c r="B51" s="72">
        <v>0</v>
      </c>
      <c r="C51" s="72">
        <v>0</v>
      </c>
      <c r="D51" s="72">
        <v>0</v>
      </c>
      <c r="E51" s="72">
        <v>0</v>
      </c>
      <c r="F51" s="72">
        <f>'BSC (Dome)'!I42+'BSC (Dome)'!I48</f>
        <v>9527.82</v>
      </c>
      <c r="G51" s="72">
        <v>0</v>
      </c>
      <c r="H51" s="72">
        <v>0</v>
      </c>
      <c r="I51" s="72">
        <f t="shared" si="7"/>
        <v>9527.82</v>
      </c>
      <c r="L51" s="90"/>
    </row>
    <row r="52" spans="1:12" s="88" customFormat="1" ht="42.75" customHeight="1" x14ac:dyDescent="0.5">
      <c r="A52" s="63" t="s">
        <v>241</v>
      </c>
      <c r="B52" s="72">
        <f>CNT!N208</f>
        <v>61238.800000000017</v>
      </c>
      <c r="C52" s="72">
        <v>0</v>
      </c>
      <c r="D52" s="72">
        <f>DEP!I43</f>
        <v>37384.850000000006</v>
      </c>
      <c r="E52" s="72">
        <v>0</v>
      </c>
      <c r="F52" s="72">
        <f>'BSC (Dome)'!I44</f>
        <v>486.66999999999996</v>
      </c>
      <c r="G52" s="72">
        <v>0</v>
      </c>
      <c r="H52" s="72">
        <v>0</v>
      </c>
      <c r="I52" s="72">
        <f t="shared" si="7"/>
        <v>99110.320000000022</v>
      </c>
      <c r="L52" s="90"/>
    </row>
    <row r="53" spans="1:12" s="88" customFormat="1" ht="42.75" customHeight="1" x14ac:dyDescent="0.5">
      <c r="A53" s="63" t="s">
        <v>242</v>
      </c>
      <c r="B53" s="72">
        <f>CNT!N209</f>
        <v>24366.89</v>
      </c>
      <c r="C53" s="72">
        <v>0</v>
      </c>
      <c r="D53" s="72">
        <f>DEP!I44</f>
        <v>10598.58</v>
      </c>
      <c r="E53" s="72">
        <v>0</v>
      </c>
      <c r="F53" s="72">
        <v>0</v>
      </c>
      <c r="G53" s="72">
        <v>0</v>
      </c>
      <c r="H53" s="72">
        <v>0</v>
      </c>
      <c r="I53" s="72">
        <f t="shared" si="7"/>
        <v>34965.47</v>
      </c>
      <c r="L53" s="90"/>
    </row>
    <row r="54" spans="1:12" s="88" customFormat="1" ht="42.75" customHeight="1" x14ac:dyDescent="0.5">
      <c r="A54" s="63" t="s">
        <v>240</v>
      </c>
      <c r="B54" s="72">
        <f>CNT!N210</f>
        <v>35531.449999999997</v>
      </c>
      <c r="C54" s="72">
        <v>0</v>
      </c>
      <c r="D54" s="72">
        <f>DEP!I45</f>
        <v>112993.73</v>
      </c>
      <c r="E54" s="72">
        <v>0</v>
      </c>
      <c r="F54" s="72">
        <f>'BSC (Dome)'!I46</f>
        <v>16970</v>
      </c>
      <c r="G54" s="72">
        <v>0</v>
      </c>
      <c r="H54" s="72">
        <v>0</v>
      </c>
      <c r="I54" s="72">
        <f t="shared" si="7"/>
        <v>165495.18</v>
      </c>
      <c r="L54" s="90"/>
    </row>
    <row r="55" spans="1:12" s="88" customFormat="1" ht="42.75" customHeight="1" x14ac:dyDescent="0.5">
      <c r="A55" s="63" t="s">
        <v>359</v>
      </c>
      <c r="B55" s="72">
        <f>CNT!N246</f>
        <v>270</v>
      </c>
      <c r="C55" s="72">
        <f>BPM!I50</f>
        <v>258.95000000000005</v>
      </c>
      <c r="D55" s="72">
        <f>DEP!I64</f>
        <v>149</v>
      </c>
      <c r="E55" s="72">
        <v>0</v>
      </c>
      <c r="F55" s="72">
        <f>'BSC (Dome)'!I47</f>
        <v>565</v>
      </c>
      <c r="G55" s="72">
        <f>'Oliari Co.'!I10</f>
        <v>520</v>
      </c>
      <c r="H55" s="72">
        <f>'722 Bedford St'!I10</f>
        <v>520</v>
      </c>
      <c r="I55" s="72">
        <f t="shared" si="7"/>
        <v>2282.9499999999998</v>
      </c>
      <c r="L55" s="90"/>
    </row>
    <row r="56" spans="1:12" s="88" customFormat="1" ht="42.75" customHeight="1" x14ac:dyDescent="0.5">
      <c r="A56" s="63" t="s">
        <v>362</v>
      </c>
      <c r="B56" s="72">
        <v>0</v>
      </c>
      <c r="C56" s="72">
        <v>0</v>
      </c>
      <c r="D56" s="72">
        <v>0</v>
      </c>
      <c r="E56" s="72">
        <v>0</v>
      </c>
      <c r="F56" s="72">
        <f>'BSC (Dome)'!I43</f>
        <v>11940.4</v>
      </c>
      <c r="G56" s="72">
        <v>0</v>
      </c>
      <c r="H56" s="72">
        <v>0</v>
      </c>
      <c r="I56" s="72">
        <f t="shared" si="7"/>
        <v>11940.4</v>
      </c>
      <c r="L56" s="90"/>
    </row>
    <row r="57" spans="1:12" s="88" customFormat="1" ht="42.75" customHeight="1" x14ac:dyDescent="0.5">
      <c r="A57" s="63" t="s">
        <v>243</v>
      </c>
      <c r="B57" s="72">
        <f>CNT!N211</f>
        <v>7756.71</v>
      </c>
      <c r="C57" s="72">
        <v>0</v>
      </c>
      <c r="D57" s="72">
        <f>DEP!I46</f>
        <v>152.47</v>
      </c>
      <c r="E57" s="72">
        <v>0</v>
      </c>
      <c r="F57" s="72">
        <f>'BSC (Dome)'!I49</f>
        <v>1417.5100000000002</v>
      </c>
      <c r="G57" s="72">
        <v>0</v>
      </c>
      <c r="H57" s="72">
        <v>0</v>
      </c>
      <c r="I57" s="72">
        <f t="shared" si="7"/>
        <v>9326.69</v>
      </c>
      <c r="L57" s="90"/>
    </row>
    <row r="58" spans="1:12" s="88" customFormat="1" ht="42.75" customHeight="1" x14ac:dyDescent="0.5">
      <c r="A58" s="63" t="s">
        <v>244</v>
      </c>
      <c r="B58" s="72">
        <f>CNT!N212</f>
        <v>3936.95</v>
      </c>
      <c r="C58" s="72">
        <v>0</v>
      </c>
      <c r="D58" s="72">
        <f>DEP!I48</f>
        <v>2383.4499999999998</v>
      </c>
      <c r="E58" s="72">
        <v>0</v>
      </c>
      <c r="F58" s="72">
        <f>0</f>
        <v>0</v>
      </c>
      <c r="G58" s="72">
        <f>0</f>
        <v>0</v>
      </c>
      <c r="H58" s="72">
        <f>0</f>
        <v>0</v>
      </c>
      <c r="I58" s="72">
        <f t="shared" si="7"/>
        <v>6320.4</v>
      </c>
      <c r="L58" s="90"/>
    </row>
    <row r="59" spans="1:12" s="88" customFormat="1" ht="42.75" customHeight="1" x14ac:dyDescent="0.5">
      <c r="A59" s="63" t="s">
        <v>245</v>
      </c>
      <c r="B59" s="72">
        <f>CNT!N213</f>
        <v>2333.31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f t="shared" si="7"/>
        <v>2333.31</v>
      </c>
      <c r="L59" s="90"/>
    </row>
    <row r="60" spans="1:12" s="88" customFormat="1" ht="42.75" customHeight="1" x14ac:dyDescent="0.5">
      <c r="A60" s="63" t="s">
        <v>246</v>
      </c>
      <c r="B60" s="72">
        <f>CNT!N214+CNT!N217</f>
        <v>881536.42</v>
      </c>
      <c r="C60" s="72">
        <f>BPM!I41</f>
        <v>2652.16</v>
      </c>
      <c r="D60" s="72">
        <f>DEP!I49</f>
        <v>73023.61</v>
      </c>
      <c r="E60" s="72">
        <v>0</v>
      </c>
      <c r="F60" s="72">
        <f>'BSC (Dome)'!I52</f>
        <v>65675.03</v>
      </c>
      <c r="G60" s="72">
        <f>'Oliari Co.'!I11</f>
        <v>64758.890000000014</v>
      </c>
      <c r="H60" s="72">
        <f>'722 Bedford St'!I11</f>
        <v>102902.56</v>
      </c>
      <c r="I60" s="72">
        <f t="shared" si="7"/>
        <v>1190548.6700000002</v>
      </c>
      <c r="L60" s="90"/>
    </row>
    <row r="61" spans="1:12" s="88" customFormat="1" ht="42.75" customHeight="1" x14ac:dyDescent="0.5">
      <c r="A61" s="63" t="s">
        <v>256</v>
      </c>
      <c r="B61" s="72">
        <f>CNT!N232</f>
        <v>1268.68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  <c r="I61" s="72">
        <f t="shared" si="7"/>
        <v>1268.68</v>
      </c>
      <c r="L61" s="90"/>
    </row>
    <row r="62" spans="1:12" s="88" customFormat="1" ht="42.75" customHeight="1" x14ac:dyDescent="0.5">
      <c r="A62" s="63" t="s">
        <v>249</v>
      </c>
      <c r="B62" s="72">
        <f>CNT!N231</f>
        <v>12135.779999999999</v>
      </c>
      <c r="C62" s="72">
        <v>0</v>
      </c>
      <c r="D62" s="72">
        <f>DEP!I50</f>
        <v>11511.339999999998</v>
      </c>
      <c r="E62" s="72">
        <v>0</v>
      </c>
      <c r="F62" s="72">
        <f>'BSC (Dome)'!I53</f>
        <v>0</v>
      </c>
      <c r="G62" s="72">
        <v>0</v>
      </c>
      <c r="H62" s="72">
        <v>0</v>
      </c>
      <c r="I62" s="72">
        <f t="shared" si="7"/>
        <v>23647.119999999995</v>
      </c>
      <c r="L62" s="90"/>
    </row>
    <row r="63" spans="1:12" s="88" customFormat="1" ht="42.75" customHeight="1" x14ac:dyDescent="0.5">
      <c r="A63" s="63" t="s">
        <v>250</v>
      </c>
      <c r="B63" s="72">
        <f>CNT!N235+CNT!N216</f>
        <v>98930.089999999982</v>
      </c>
      <c r="C63" s="72">
        <v>0</v>
      </c>
      <c r="D63" s="72">
        <f>DEP!I47</f>
        <v>50672.959999999999</v>
      </c>
      <c r="E63" s="72">
        <v>0</v>
      </c>
      <c r="F63" s="72">
        <f>0</f>
        <v>0</v>
      </c>
      <c r="G63" s="72">
        <v>0</v>
      </c>
      <c r="H63" s="72">
        <v>0</v>
      </c>
      <c r="I63" s="72">
        <f t="shared" si="7"/>
        <v>149603.04999999999</v>
      </c>
      <c r="L63" s="90"/>
    </row>
    <row r="64" spans="1:12" s="88" customFormat="1" ht="42.75" customHeight="1" x14ac:dyDescent="0.5">
      <c r="A64" s="63" t="s">
        <v>372</v>
      </c>
      <c r="B64" s="72">
        <f>CNT!N240</f>
        <v>15121.89</v>
      </c>
      <c r="C64" s="72">
        <v>0</v>
      </c>
      <c r="D64" s="72">
        <f>DEP!I51</f>
        <v>7476.93</v>
      </c>
      <c r="E64" s="72">
        <v>0</v>
      </c>
      <c r="F64" s="72">
        <f>'BSC (Dome)'!I54</f>
        <v>2372.79</v>
      </c>
      <c r="G64" s="72">
        <v>0</v>
      </c>
      <c r="H64" s="72">
        <v>0</v>
      </c>
      <c r="I64" s="72">
        <f>SUM(B64:H64)</f>
        <v>24971.61</v>
      </c>
      <c r="L64" s="90"/>
    </row>
    <row r="65" spans="1:12" s="88" customFormat="1" ht="42.75" customHeight="1" x14ac:dyDescent="0.5">
      <c r="A65" s="63" t="s">
        <v>373</v>
      </c>
      <c r="B65" s="72">
        <f>CNT!N241</f>
        <v>7397.14</v>
      </c>
      <c r="C65" s="72">
        <f>BPM!I47</f>
        <v>4082.29</v>
      </c>
      <c r="D65" s="72">
        <f>DEP!I52</f>
        <v>4504.62</v>
      </c>
      <c r="E65" s="72">
        <v>0</v>
      </c>
      <c r="F65" s="72">
        <f>'BSC (Dome)'!I55</f>
        <v>4376</v>
      </c>
      <c r="G65" s="72">
        <v>0</v>
      </c>
      <c r="H65" s="72">
        <v>0</v>
      </c>
      <c r="I65" s="72">
        <f t="shared" si="7"/>
        <v>20360.05</v>
      </c>
      <c r="L65" s="90"/>
    </row>
    <row r="66" spans="1:12" s="88" customFormat="1" ht="42.75" customHeight="1" x14ac:dyDescent="0.5">
      <c r="A66" s="70" t="s">
        <v>251</v>
      </c>
      <c r="B66" s="76">
        <f t="shared" ref="B66:H66" si="8">SUM(B44:B65)</f>
        <v>1510355.22</v>
      </c>
      <c r="C66" s="76">
        <f t="shared" si="8"/>
        <v>9713.130000000001</v>
      </c>
      <c r="D66" s="76">
        <f t="shared" si="8"/>
        <v>656607.18999999994</v>
      </c>
      <c r="E66" s="76">
        <f t="shared" si="8"/>
        <v>0</v>
      </c>
      <c r="F66" s="76">
        <f t="shared" si="8"/>
        <v>192590.6</v>
      </c>
      <c r="G66" s="76">
        <f t="shared" si="8"/>
        <v>65278.890000000014</v>
      </c>
      <c r="H66" s="76">
        <f t="shared" si="8"/>
        <v>103422.56</v>
      </c>
      <c r="I66" s="76">
        <f t="shared" si="7"/>
        <v>2537967.5900000003</v>
      </c>
      <c r="L66" s="90"/>
    </row>
    <row r="67" spans="1:12" s="88" customFormat="1" ht="42.75" customHeight="1" x14ac:dyDescent="0.5">
      <c r="A67" s="63"/>
      <c r="B67" s="72"/>
      <c r="C67" s="72"/>
      <c r="D67" s="72"/>
      <c r="E67" s="72"/>
      <c r="F67" s="72"/>
      <c r="G67" s="72"/>
      <c r="H67" s="72"/>
      <c r="I67" s="72">
        <f>SUM(B67:F67)</f>
        <v>0</v>
      </c>
      <c r="L67" s="90"/>
    </row>
    <row r="68" spans="1:12" s="88" customFormat="1" ht="42.75" customHeight="1" x14ac:dyDescent="0.5">
      <c r="A68" s="70" t="s">
        <v>252</v>
      </c>
      <c r="B68" s="72"/>
      <c r="C68" s="72"/>
      <c r="D68" s="72"/>
      <c r="E68" s="72"/>
      <c r="F68" s="72"/>
      <c r="G68" s="72"/>
      <c r="H68" s="72"/>
      <c r="I68" s="72">
        <f>SUM(B68:F68)</f>
        <v>0</v>
      </c>
      <c r="L68" s="90"/>
    </row>
    <row r="69" spans="1:12" s="88" customFormat="1" ht="42.75" customHeight="1" x14ac:dyDescent="0.5">
      <c r="A69" s="63" t="s">
        <v>253</v>
      </c>
      <c r="B69" s="72">
        <f>CNT!N222</f>
        <v>6310.07</v>
      </c>
      <c r="C69" s="72">
        <v>0</v>
      </c>
      <c r="D69" s="72">
        <f>DEP!I56</f>
        <v>1125.44</v>
      </c>
      <c r="E69" s="72">
        <v>0</v>
      </c>
      <c r="F69" s="72">
        <f>'BSC (Dome)'!I59</f>
        <v>2430.92</v>
      </c>
      <c r="G69" s="72">
        <v>0</v>
      </c>
      <c r="H69" s="72">
        <v>0</v>
      </c>
      <c r="I69" s="72">
        <f t="shared" ref="I69:I87" si="9">SUM(B69:H69)</f>
        <v>9866.43</v>
      </c>
      <c r="L69" s="90"/>
    </row>
    <row r="70" spans="1:12" s="88" customFormat="1" ht="42.75" customHeight="1" x14ac:dyDescent="0.5">
      <c r="A70" s="63" t="s">
        <v>254</v>
      </c>
      <c r="B70" s="72">
        <f>CNT!N223</f>
        <v>68445.42</v>
      </c>
      <c r="C70" s="72">
        <f>BPM!I45</f>
        <v>5831.1</v>
      </c>
      <c r="D70" s="72">
        <f>DEP!I57</f>
        <v>5083.54</v>
      </c>
      <c r="E70" s="72">
        <f>Lending!I9</f>
        <v>1462.0700000000002</v>
      </c>
      <c r="F70" s="72">
        <f>'BSC (Dome)'!I60</f>
        <v>1869.6899999999996</v>
      </c>
      <c r="G70" s="72">
        <v>0</v>
      </c>
      <c r="H70" s="72">
        <f>'722 Bedford St'!I16</f>
        <v>561.19000000000005</v>
      </c>
      <c r="I70" s="72">
        <f t="shared" si="9"/>
        <v>83253.010000000009</v>
      </c>
      <c r="L70" s="90"/>
    </row>
    <row r="71" spans="1:12" s="88" customFormat="1" ht="42.75" customHeight="1" x14ac:dyDescent="0.5">
      <c r="A71" s="63" t="s">
        <v>366</v>
      </c>
      <c r="B71" s="72">
        <v>0</v>
      </c>
      <c r="C71" s="72">
        <v>0</v>
      </c>
      <c r="D71" s="72">
        <v>0</v>
      </c>
      <c r="E71" s="72">
        <v>0</v>
      </c>
      <c r="F71" s="72">
        <f>'BSC (Dome)'!I61</f>
        <v>2903.1800000000003</v>
      </c>
      <c r="G71" s="72">
        <v>0</v>
      </c>
      <c r="H71" s="72">
        <v>0</v>
      </c>
      <c r="I71" s="72">
        <f t="shared" si="9"/>
        <v>2903.1800000000003</v>
      </c>
      <c r="L71" s="90"/>
    </row>
    <row r="72" spans="1:12" s="88" customFormat="1" ht="42.75" customHeight="1" x14ac:dyDescent="0.5">
      <c r="A72" s="63" t="s">
        <v>255</v>
      </c>
      <c r="B72" s="72">
        <f>CNT!N225</f>
        <v>3755.83</v>
      </c>
      <c r="C72" s="72">
        <v>0</v>
      </c>
      <c r="D72" s="72">
        <v>0</v>
      </c>
      <c r="E72" s="72">
        <f>Lending!I10</f>
        <v>109</v>
      </c>
      <c r="F72" s="72">
        <f>'BSC (Dome)'!I65</f>
        <v>975.56000000000006</v>
      </c>
      <c r="G72" s="72">
        <v>0</v>
      </c>
      <c r="H72" s="72">
        <v>0</v>
      </c>
      <c r="I72" s="72">
        <f t="shared" si="9"/>
        <v>4840.3900000000003</v>
      </c>
      <c r="L72" s="90"/>
    </row>
    <row r="73" spans="1:12" s="88" customFormat="1" ht="42.75" customHeight="1" x14ac:dyDescent="0.5">
      <c r="A73" s="63" t="s">
        <v>363</v>
      </c>
      <c r="B73" s="72">
        <f>CNT!N243</f>
        <v>202857.14</v>
      </c>
      <c r="C73" s="72">
        <f>BPM!I48</f>
        <v>19000</v>
      </c>
      <c r="D73" s="72">
        <f>DEP!I61</f>
        <v>33000</v>
      </c>
      <c r="E73" s="72">
        <v>0</v>
      </c>
      <c r="F73" s="72">
        <f>'BSC (Dome)'!I66</f>
        <v>3500</v>
      </c>
      <c r="G73" s="72">
        <f>'Oliari Co.'!I15</f>
        <v>2120</v>
      </c>
      <c r="H73" s="72">
        <v>0</v>
      </c>
      <c r="I73" s="72">
        <f t="shared" si="9"/>
        <v>260477.14</v>
      </c>
      <c r="L73" s="90"/>
    </row>
    <row r="74" spans="1:12" s="88" customFormat="1" ht="42.75" customHeight="1" x14ac:dyDescent="0.5">
      <c r="A74" s="63" t="s">
        <v>364</v>
      </c>
      <c r="B74" s="72">
        <f>CNT!N244</f>
        <v>53000</v>
      </c>
      <c r="C74" s="72">
        <f>BPM!I49</f>
        <v>26250</v>
      </c>
      <c r="D74" s="72">
        <f>DEP!I62</f>
        <v>15750</v>
      </c>
      <c r="E74" s="72">
        <f>-Lending!I16</f>
        <v>3750</v>
      </c>
      <c r="F74" s="72">
        <f>'BSC (Dome)'!I67</f>
        <v>10500</v>
      </c>
      <c r="G74" s="72">
        <v>0</v>
      </c>
      <c r="H74" s="72">
        <v>0</v>
      </c>
      <c r="I74" s="72">
        <f t="shared" si="9"/>
        <v>109250</v>
      </c>
      <c r="L74" s="90"/>
    </row>
    <row r="75" spans="1:12" s="88" customFormat="1" ht="42.75" customHeight="1" x14ac:dyDescent="0.5">
      <c r="A75" s="63" t="s">
        <v>365</v>
      </c>
      <c r="B75" s="72">
        <f>CNT!N242</f>
        <v>34939.5</v>
      </c>
      <c r="C75" s="72">
        <v>0</v>
      </c>
      <c r="D75" s="72">
        <f>DEP!I60</f>
        <v>-5776.56</v>
      </c>
      <c r="E75" s="72">
        <f>-Lending!I17</f>
        <v>654.17000000000007</v>
      </c>
      <c r="F75" s="72">
        <v>0</v>
      </c>
      <c r="G75" s="72">
        <v>0</v>
      </c>
      <c r="H75" s="72">
        <v>0</v>
      </c>
      <c r="I75" s="72">
        <f t="shared" si="9"/>
        <v>29817.11</v>
      </c>
      <c r="L75" s="90"/>
    </row>
    <row r="76" spans="1:12" s="88" customFormat="1" ht="42.75" customHeight="1" x14ac:dyDescent="0.5">
      <c r="A76" s="63" t="s">
        <v>404</v>
      </c>
      <c r="B76" s="72">
        <f>CNT!N245</f>
        <v>29475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  <c r="H76" s="72">
        <v>0</v>
      </c>
      <c r="I76" s="72">
        <f t="shared" si="9"/>
        <v>29475</v>
      </c>
      <c r="L76" s="90"/>
    </row>
    <row r="77" spans="1:12" s="88" customFormat="1" ht="42.75" customHeight="1" x14ac:dyDescent="0.5">
      <c r="A77" s="63" t="s">
        <v>393</v>
      </c>
      <c r="B77" s="72">
        <v>0</v>
      </c>
      <c r="C77" s="72">
        <v>0</v>
      </c>
      <c r="D77" s="72">
        <f>DEP!I63</f>
        <v>5291.6799999999994</v>
      </c>
      <c r="E77" s="72">
        <v>0</v>
      </c>
      <c r="F77" s="72">
        <v>0</v>
      </c>
      <c r="G77" s="72">
        <v>0</v>
      </c>
      <c r="H77" s="72">
        <v>0</v>
      </c>
      <c r="I77" s="72">
        <f t="shared" si="9"/>
        <v>5291.6799999999994</v>
      </c>
      <c r="L77" s="90"/>
    </row>
    <row r="78" spans="1:12" s="88" customFormat="1" ht="42.75" customHeight="1" x14ac:dyDescent="0.5">
      <c r="A78" s="63" t="s">
        <v>257</v>
      </c>
      <c r="B78" s="72">
        <f>CNT!N229+CNT!N247</f>
        <v>31499.520000000004</v>
      </c>
      <c r="C78" s="72">
        <v>0</v>
      </c>
      <c r="D78" s="72">
        <f>DEP!I59</f>
        <v>5250</v>
      </c>
      <c r="E78" s="72">
        <v>0</v>
      </c>
      <c r="F78" s="72">
        <f>'BSC (Dome)'!I63</f>
        <v>1062.4799999999998</v>
      </c>
      <c r="G78" s="72">
        <v>0</v>
      </c>
      <c r="H78" s="72">
        <v>0</v>
      </c>
      <c r="I78" s="72">
        <f t="shared" si="9"/>
        <v>37812.000000000007</v>
      </c>
      <c r="L78" s="90"/>
    </row>
    <row r="79" spans="1:12" s="88" customFormat="1" ht="42.75" customHeight="1" x14ac:dyDescent="0.5">
      <c r="A79" s="63" t="s">
        <v>258</v>
      </c>
      <c r="B79" s="72">
        <f>CNT!N233</f>
        <v>23553.399999999998</v>
      </c>
      <c r="C79" s="72">
        <f>BPM!I46</f>
        <v>687.49</v>
      </c>
      <c r="D79" s="72">
        <f>DEP!I65</f>
        <v>1227.5</v>
      </c>
      <c r="E79" s="72">
        <v>0</v>
      </c>
      <c r="F79" s="72">
        <f>'BSC (Dome)'!I69</f>
        <v>642</v>
      </c>
      <c r="G79" s="72">
        <v>0</v>
      </c>
      <c r="H79" s="72">
        <v>0</v>
      </c>
      <c r="I79" s="72">
        <f t="shared" si="9"/>
        <v>26110.39</v>
      </c>
      <c r="L79" s="90"/>
    </row>
    <row r="80" spans="1:12" s="88" customFormat="1" ht="42.75" customHeight="1" x14ac:dyDescent="0.5">
      <c r="A80" s="63" t="s">
        <v>259</v>
      </c>
      <c r="B80" s="72">
        <f>CNT!N234</f>
        <v>19205.57</v>
      </c>
      <c r="C80" s="72">
        <f>0</f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f t="shared" si="9"/>
        <v>19205.57</v>
      </c>
      <c r="L80" s="90"/>
    </row>
    <row r="81" spans="1:12" s="88" customFormat="1" ht="42.75" customHeight="1" x14ac:dyDescent="0.5">
      <c r="A81" s="63" t="s">
        <v>296</v>
      </c>
      <c r="B81" s="72">
        <v>0</v>
      </c>
      <c r="C81" s="72">
        <f>0</f>
        <v>0</v>
      </c>
      <c r="D81" s="72">
        <f>DEP!I58</f>
        <v>300</v>
      </c>
      <c r="E81" s="72">
        <v>0</v>
      </c>
      <c r="F81" s="72">
        <f>'BSC (Dome)'!I62</f>
        <v>2600</v>
      </c>
      <c r="G81" s="72">
        <v>0</v>
      </c>
      <c r="H81" s="72">
        <v>0</v>
      </c>
      <c r="I81" s="72">
        <f t="shared" si="9"/>
        <v>2900</v>
      </c>
      <c r="L81" s="90"/>
    </row>
    <row r="82" spans="1:12" s="88" customFormat="1" ht="42.75" customHeight="1" x14ac:dyDescent="0.5">
      <c r="A82" s="63" t="s">
        <v>381</v>
      </c>
      <c r="B82" s="72">
        <f>CNT!N230</f>
        <v>234.03</v>
      </c>
      <c r="C82" s="72">
        <v>0</v>
      </c>
      <c r="D82" s="72">
        <v>0</v>
      </c>
      <c r="E82" s="72">
        <v>0</v>
      </c>
      <c r="F82" s="72">
        <f>'BSC (Dome)'!I64</f>
        <v>10329.9</v>
      </c>
      <c r="G82" s="72">
        <v>0</v>
      </c>
      <c r="H82" s="72">
        <v>0</v>
      </c>
      <c r="I82" s="72">
        <f t="shared" si="9"/>
        <v>10563.93</v>
      </c>
      <c r="L82" s="90"/>
    </row>
    <row r="83" spans="1:12" s="88" customFormat="1" ht="42.75" customHeight="1" x14ac:dyDescent="0.5">
      <c r="A83" s="63" t="s">
        <v>260</v>
      </c>
      <c r="B83" s="72">
        <f>CNT!N236</f>
        <v>18453.309999999998</v>
      </c>
      <c r="C83" s="72">
        <f>0</f>
        <v>0</v>
      </c>
      <c r="D83" s="72">
        <f>0</f>
        <v>0</v>
      </c>
      <c r="E83" s="72">
        <v>0</v>
      </c>
      <c r="F83" s="72">
        <v>0</v>
      </c>
      <c r="G83" s="72">
        <v>0</v>
      </c>
      <c r="H83" s="72">
        <v>0</v>
      </c>
      <c r="I83" s="72">
        <f t="shared" si="9"/>
        <v>18453.309999999998</v>
      </c>
      <c r="L83" s="90"/>
    </row>
    <row r="84" spans="1:12" s="88" customFormat="1" ht="42.75" customHeight="1" x14ac:dyDescent="0.5">
      <c r="A84" s="63" t="s">
        <v>261</v>
      </c>
      <c r="B84" s="72">
        <f>CNT!N237</f>
        <v>13489.93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72">
        <v>0</v>
      </c>
      <c r="I84" s="72">
        <f t="shared" si="9"/>
        <v>13489.93</v>
      </c>
      <c r="L84" s="90"/>
    </row>
    <row r="85" spans="1:12" s="88" customFormat="1" ht="42.75" customHeight="1" x14ac:dyDescent="0.5">
      <c r="A85" s="63" t="s">
        <v>262</v>
      </c>
      <c r="B85" s="72">
        <f>CNT!N238</f>
        <v>2773.46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f t="shared" si="9"/>
        <v>2773.46</v>
      </c>
      <c r="L85" s="90"/>
    </row>
    <row r="86" spans="1:12" s="88" customFormat="1" ht="42.75" customHeight="1" x14ac:dyDescent="0.5">
      <c r="A86" s="63" t="s">
        <v>263</v>
      </c>
      <c r="B86" s="72">
        <f>CNT!N239+CNT!G248</f>
        <v>14754.79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f t="shared" si="9"/>
        <v>14754.79</v>
      </c>
      <c r="L86" s="90"/>
    </row>
    <row r="87" spans="1:12" s="88" customFormat="1" ht="42.75" customHeight="1" x14ac:dyDescent="0.5">
      <c r="A87" s="70" t="s">
        <v>265</v>
      </c>
      <c r="B87" s="76">
        <f t="shared" ref="B87:H87" si="10">SUM(B69:B86)</f>
        <v>522746.97000000009</v>
      </c>
      <c r="C87" s="76">
        <f t="shared" si="10"/>
        <v>51768.59</v>
      </c>
      <c r="D87" s="76">
        <f t="shared" si="10"/>
        <v>61251.6</v>
      </c>
      <c r="E87" s="76">
        <f t="shared" si="10"/>
        <v>5975.24</v>
      </c>
      <c r="F87" s="76">
        <f t="shared" si="10"/>
        <v>36813.729999999996</v>
      </c>
      <c r="G87" s="76">
        <f t="shared" si="10"/>
        <v>2120</v>
      </c>
      <c r="H87" s="76">
        <f t="shared" si="10"/>
        <v>561.19000000000005</v>
      </c>
      <c r="I87" s="76">
        <f t="shared" si="9"/>
        <v>681237.32</v>
      </c>
      <c r="L87" s="90"/>
    </row>
    <row r="88" spans="1:12" s="88" customFormat="1" ht="42.75" customHeight="1" x14ac:dyDescent="0.5">
      <c r="A88" s="63"/>
      <c r="B88" s="72"/>
      <c r="C88" s="72"/>
      <c r="D88" s="72"/>
      <c r="E88" s="72"/>
      <c r="F88" s="72"/>
      <c r="G88" s="72"/>
      <c r="H88" s="72"/>
      <c r="I88" s="72">
        <f>SUM(B88:F88)</f>
        <v>0</v>
      </c>
      <c r="L88" s="90"/>
    </row>
    <row r="89" spans="1:12" s="88" customFormat="1" ht="42.75" customHeight="1" thickBot="1" x14ac:dyDescent="0.55000000000000004">
      <c r="A89" s="70" t="s">
        <v>266</v>
      </c>
      <c r="B89" s="82">
        <f t="shared" ref="B89:H89" si="11">B41+B66+B87</f>
        <v>4746986.28</v>
      </c>
      <c r="C89" s="82">
        <f t="shared" si="11"/>
        <v>61481.72</v>
      </c>
      <c r="D89" s="82">
        <f t="shared" si="11"/>
        <v>811785.37999999989</v>
      </c>
      <c r="E89" s="82">
        <f t="shared" si="11"/>
        <v>5975.24</v>
      </c>
      <c r="F89" s="82">
        <f t="shared" si="11"/>
        <v>479679.80999999994</v>
      </c>
      <c r="G89" s="82">
        <f t="shared" si="11"/>
        <v>67398.890000000014</v>
      </c>
      <c r="H89" s="82">
        <f t="shared" si="11"/>
        <v>103983.75</v>
      </c>
      <c r="I89" s="82">
        <f>SUM(B89:H89)</f>
        <v>6277291.0699999994</v>
      </c>
      <c r="L89" s="90"/>
    </row>
    <row r="90" spans="1:12" s="88" customFormat="1" ht="42.75" customHeight="1" x14ac:dyDescent="0.5">
      <c r="A90" s="63"/>
      <c r="B90" s="72"/>
      <c r="C90" s="72"/>
      <c r="D90" s="72"/>
      <c r="E90" s="72"/>
      <c r="F90" s="72"/>
      <c r="G90" s="72"/>
      <c r="H90" s="72"/>
      <c r="I90" s="72"/>
      <c r="L90" s="90"/>
    </row>
    <row r="91" spans="1:12" s="88" customFormat="1" ht="42.75" customHeight="1" x14ac:dyDescent="0.5">
      <c r="A91" s="70" t="s">
        <v>466</v>
      </c>
      <c r="B91" s="72"/>
      <c r="C91" s="72"/>
      <c r="D91" s="72"/>
      <c r="E91" s="72"/>
      <c r="F91" s="72"/>
      <c r="G91" s="72"/>
      <c r="H91" s="72"/>
      <c r="I91" s="72"/>
      <c r="L91" s="90"/>
    </row>
    <row r="92" spans="1:12" s="88" customFormat="1" ht="42.75" customHeight="1" x14ac:dyDescent="0.5">
      <c r="A92" s="63" t="s">
        <v>269</v>
      </c>
      <c r="B92" s="72">
        <f>CNT!N252</f>
        <v>87500</v>
      </c>
      <c r="C92" s="72">
        <v>0</v>
      </c>
      <c r="D92" s="72">
        <f>DEP!I71</f>
        <v>87500</v>
      </c>
      <c r="E92" s="72">
        <v>0</v>
      </c>
      <c r="F92" s="72">
        <f>'BSC (Dome)'!I75+'BSC (Dome)'!I76</f>
        <v>39000</v>
      </c>
      <c r="G92" s="72">
        <f>'Oliari Co.'!I21+'Oliari Co.'!I22</f>
        <v>123900</v>
      </c>
      <c r="H92" s="72">
        <f>'722 Bedford St'!I22</f>
        <v>25000</v>
      </c>
      <c r="I92" s="72">
        <f t="shared" ref="I92:I104" si="12">SUM(B92:H92)</f>
        <v>362900</v>
      </c>
      <c r="L92" s="90"/>
    </row>
    <row r="93" spans="1:12" s="88" customFormat="1" ht="42.75" customHeight="1" x14ac:dyDescent="0.5">
      <c r="A93" s="63" t="s">
        <v>270</v>
      </c>
      <c r="B93" s="72">
        <f>CNT!N253</f>
        <v>243313.75</v>
      </c>
      <c r="C93" s="72">
        <v>0</v>
      </c>
      <c r="D93" s="72">
        <v>0</v>
      </c>
      <c r="E93" s="72">
        <v>0</v>
      </c>
      <c r="F93" s="72">
        <v>0</v>
      </c>
      <c r="G93" s="72">
        <v>0</v>
      </c>
      <c r="H93" s="72">
        <v>0</v>
      </c>
      <c r="I93" s="72">
        <f t="shared" si="12"/>
        <v>243313.75</v>
      </c>
      <c r="L93" s="90"/>
    </row>
    <row r="94" spans="1:12" s="88" customFormat="1" ht="42.75" customHeight="1" x14ac:dyDescent="0.5">
      <c r="A94" s="63" t="s">
        <v>328</v>
      </c>
      <c r="B94" s="72">
        <v>0</v>
      </c>
      <c r="C94" s="72">
        <f>-BPM!I54</f>
        <v>-243313.75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2"/>
        <v>-243313.75</v>
      </c>
      <c r="L94" s="90"/>
    </row>
    <row r="95" spans="1:12" s="88" customFormat="1" ht="42.75" customHeight="1" x14ac:dyDescent="0.5">
      <c r="A95" s="63" t="s">
        <v>390</v>
      </c>
      <c r="B95" s="72">
        <f>CNT!N254</f>
        <v>42023.72</v>
      </c>
      <c r="C95" s="72">
        <f>-BPM!I55</f>
        <v>-42023.72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271</v>
      </c>
      <c r="B96" s="72">
        <f>CNT!N255</f>
        <v>116572.66</v>
      </c>
      <c r="C96" s="72">
        <v>0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  <c r="I96" s="72">
        <f t="shared" si="12"/>
        <v>116572.66</v>
      </c>
      <c r="L96" s="90"/>
    </row>
    <row r="97" spans="1:12" s="88" customFormat="1" ht="42.75" customHeight="1" x14ac:dyDescent="0.5">
      <c r="A97" s="63" t="s">
        <v>272</v>
      </c>
      <c r="B97" s="72">
        <f>CNT!N256</f>
        <v>149724.86000000002</v>
      </c>
      <c r="C97" s="72">
        <f>-BPM!I56</f>
        <v>7286.3899999999994</v>
      </c>
      <c r="D97" s="72">
        <f>DEP!I72</f>
        <v>18213.28</v>
      </c>
      <c r="E97" s="72">
        <f>Lending!I14</f>
        <v>27435.18</v>
      </c>
      <c r="F97" s="72">
        <v>0</v>
      </c>
      <c r="G97" s="72">
        <f>'Oliari Co.'!I24</f>
        <v>25464.33</v>
      </c>
      <c r="H97" s="72">
        <v>0</v>
      </c>
      <c r="I97" s="72">
        <f t="shared" si="12"/>
        <v>228124.03999999998</v>
      </c>
      <c r="L97" s="90"/>
    </row>
    <row r="98" spans="1:12" s="88" customFormat="1" ht="42.75" customHeight="1" x14ac:dyDescent="0.5">
      <c r="A98" s="63" t="s">
        <v>273</v>
      </c>
      <c r="B98" s="72">
        <f>CNT!N257</f>
        <v>-107009.54</v>
      </c>
      <c r="C98" s="72">
        <v>0</v>
      </c>
      <c r="D98" s="72">
        <v>0</v>
      </c>
      <c r="E98" s="72">
        <f>Lending!I15</f>
        <v>-3915.6899999999996</v>
      </c>
      <c r="F98" s="72">
        <f>'BSC (Dome)'!I78+'BSC (Dome)'!I79</f>
        <v>-67875.3</v>
      </c>
      <c r="G98" s="72">
        <f>'Oliari Co.'!I25</f>
        <v>-6026.51</v>
      </c>
      <c r="H98" s="72">
        <v>0</v>
      </c>
      <c r="I98" s="72">
        <f t="shared" si="12"/>
        <v>-184827.04</v>
      </c>
      <c r="L98" s="90"/>
    </row>
    <row r="99" spans="1:12" s="88" customFormat="1" ht="42.75" customHeight="1" x14ac:dyDescent="0.5">
      <c r="A99" s="63" t="s">
        <v>274</v>
      </c>
      <c r="B99" s="72">
        <f>CNT!N258</f>
        <v>49.6</v>
      </c>
      <c r="C99" s="72">
        <v>0</v>
      </c>
      <c r="D99" s="72">
        <v>0</v>
      </c>
      <c r="E99" s="72"/>
      <c r="F99" s="72">
        <f>'BSC (Dome)'!I77</f>
        <v>1833.08</v>
      </c>
      <c r="G99" s="72">
        <f>'Oliari Co.'!I23</f>
        <v>1.01</v>
      </c>
      <c r="H99" s="72">
        <v>0</v>
      </c>
      <c r="I99" s="72">
        <f t="shared" si="12"/>
        <v>1883.6899999999998</v>
      </c>
      <c r="L99" s="90"/>
    </row>
    <row r="100" spans="1:12" s="88" customFormat="1" ht="42.75" customHeight="1" x14ac:dyDescent="0.5">
      <c r="A100" s="63" t="s">
        <v>405</v>
      </c>
      <c r="B100" s="72">
        <f>CNT!N259</f>
        <v>6263.1</v>
      </c>
      <c r="C100" s="72">
        <v>0</v>
      </c>
      <c r="D100" s="72">
        <v>0</v>
      </c>
      <c r="E100" s="72">
        <v>0</v>
      </c>
      <c r="F100" s="72">
        <v>0</v>
      </c>
      <c r="G100" s="72">
        <v>0</v>
      </c>
      <c r="H100" s="72">
        <v>0</v>
      </c>
      <c r="I100" s="72">
        <f t="shared" si="12"/>
        <v>6263.1</v>
      </c>
      <c r="L100" s="90"/>
    </row>
    <row r="101" spans="1:12" s="88" customFormat="1" ht="42.75" customHeight="1" x14ac:dyDescent="0.5">
      <c r="A101" s="63" t="s">
        <v>448</v>
      </c>
      <c r="B101" s="72">
        <f>CNT!N260</f>
        <v>1841.71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f t="shared" si="12"/>
        <v>1841.71</v>
      </c>
      <c r="L101" s="90"/>
    </row>
    <row r="102" spans="1:12" s="88" customFormat="1" ht="42.75" customHeight="1" x14ac:dyDescent="0.5">
      <c r="A102" s="63" t="s">
        <v>449</v>
      </c>
      <c r="B102" s="72">
        <f>CNT!N262</f>
        <v>9954.3799999999992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f t="shared" si="12"/>
        <v>9954.3799999999992</v>
      </c>
      <c r="L102" s="90"/>
    </row>
    <row r="103" spans="1:12" s="88" customFormat="1" ht="42.75" customHeight="1" x14ac:dyDescent="0.5">
      <c r="A103" s="63" t="s">
        <v>406</v>
      </c>
      <c r="B103" s="72">
        <f>CNT!N261</f>
        <v>18084.98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f t="shared" si="12"/>
        <v>18084.98</v>
      </c>
      <c r="L103" s="90"/>
    </row>
    <row r="104" spans="1:12" s="88" customFormat="1" ht="42.75" customHeight="1" x14ac:dyDescent="0.5">
      <c r="A104" s="63" t="s">
        <v>462</v>
      </c>
      <c r="B104" s="72">
        <f>CNT!N263</f>
        <v>3098.28</v>
      </c>
      <c r="C104" s="72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f t="shared" si="12"/>
        <v>3098.28</v>
      </c>
      <c r="L104" s="90"/>
    </row>
    <row r="105" spans="1:12" s="88" customFormat="1" ht="42.75" customHeight="1" x14ac:dyDescent="0.5">
      <c r="A105" s="70" t="s">
        <v>467</v>
      </c>
      <c r="B105" s="76">
        <f t="shared" ref="B105:I105" si="13">SUM(B92:B104)</f>
        <v>571417.49999999988</v>
      </c>
      <c r="C105" s="76">
        <f t="shared" si="13"/>
        <v>-278051.07999999996</v>
      </c>
      <c r="D105" s="76">
        <f t="shared" si="13"/>
        <v>105713.28</v>
      </c>
      <c r="E105" s="76">
        <f t="shared" si="13"/>
        <v>23519.49</v>
      </c>
      <c r="F105" s="76">
        <f t="shared" si="13"/>
        <v>-27042.22</v>
      </c>
      <c r="G105" s="76">
        <f t="shared" si="13"/>
        <v>143338.83000000002</v>
      </c>
      <c r="H105" s="76">
        <f t="shared" si="13"/>
        <v>25000</v>
      </c>
      <c r="I105" s="76">
        <f t="shared" si="13"/>
        <v>563895.79999999981</v>
      </c>
      <c r="L105" s="90"/>
    </row>
    <row r="106" spans="1:12" s="88" customFormat="1" ht="42.75" customHeight="1" x14ac:dyDescent="0.5">
      <c r="A106" s="70"/>
      <c r="B106" s="72"/>
      <c r="C106" s="72"/>
      <c r="D106" s="72"/>
      <c r="E106" s="72"/>
      <c r="F106" s="72"/>
      <c r="G106" s="72"/>
      <c r="H106" s="72"/>
      <c r="I106" s="72">
        <f>SUM(B106:F106)</f>
        <v>0</v>
      </c>
      <c r="L106" s="90"/>
    </row>
    <row r="107" spans="1:12" s="88" customFormat="1" ht="42.75" customHeight="1" thickBot="1" x14ac:dyDescent="0.55000000000000004">
      <c r="A107" s="70" t="s">
        <v>268</v>
      </c>
      <c r="B107" s="86">
        <f t="shared" ref="B107:H107" si="14">B27-B89+B105</f>
        <v>-347143.63999965705</v>
      </c>
      <c r="C107" s="86">
        <f t="shared" si="14"/>
        <v>402281.9700000108</v>
      </c>
      <c r="D107" s="86">
        <f t="shared" si="14"/>
        <v>503419.30000000028</v>
      </c>
      <c r="E107" s="86">
        <f t="shared" si="14"/>
        <v>17544.25</v>
      </c>
      <c r="F107" s="86">
        <f t="shared" si="14"/>
        <v>18349.990000000078</v>
      </c>
      <c r="G107" s="86">
        <f t="shared" si="14"/>
        <v>75939.94</v>
      </c>
      <c r="H107" s="86">
        <f t="shared" si="14"/>
        <v>-78983.75</v>
      </c>
      <c r="I107" s="86">
        <f>SUM(B107:H107)</f>
        <v>591408.06000035419</v>
      </c>
      <c r="L107" s="90"/>
    </row>
    <row r="108" spans="1:12" ht="15.75" thickTop="1" x14ac:dyDescent="0.25">
      <c r="B108" s="59"/>
      <c r="C108" s="59"/>
      <c r="D108" s="59"/>
      <c r="E108" s="59"/>
      <c r="F108" s="59"/>
      <c r="G108" s="59"/>
      <c r="H108" s="59"/>
      <c r="I108" s="59"/>
    </row>
    <row r="110" spans="1:12" x14ac:dyDescent="0.25">
      <c r="A110" t="s">
        <v>333</v>
      </c>
      <c r="B110" s="57">
        <v>-347143.64000031271</v>
      </c>
      <c r="C110" s="110">
        <v>402281.97000000335</v>
      </c>
      <c r="D110" s="110">
        <v>503419.3</v>
      </c>
      <c r="E110" s="110">
        <v>17544.25</v>
      </c>
      <c r="F110" s="110">
        <v>18349.990000000078</v>
      </c>
      <c r="G110" s="110">
        <v>75939.939999999973</v>
      </c>
      <c r="H110" s="110">
        <v>-78983.75</v>
      </c>
      <c r="I110" s="59">
        <f>SUM(B110:H110)</f>
        <v>591408.05999969074</v>
      </c>
    </row>
    <row r="111" spans="1:12" x14ac:dyDescent="0.25">
      <c r="B111" s="57">
        <f t="shared" ref="B111:I111" si="15">B107-B110</f>
        <v>6.5565109252929688E-7</v>
      </c>
      <c r="C111" s="110">
        <f t="shared" si="15"/>
        <v>7.4505805969238281E-9</v>
      </c>
      <c r="D111" s="110">
        <f t="shared" si="15"/>
        <v>0</v>
      </c>
      <c r="E111" s="110">
        <f t="shared" si="15"/>
        <v>0</v>
      </c>
      <c r="F111" s="110">
        <f t="shared" si="15"/>
        <v>0</v>
      </c>
      <c r="G111" s="110">
        <f t="shared" si="15"/>
        <v>0</v>
      </c>
      <c r="H111" s="110">
        <f t="shared" si="15"/>
        <v>0</v>
      </c>
      <c r="I111" s="57">
        <f t="shared" si="15"/>
        <v>6.6345091909170151E-7</v>
      </c>
    </row>
    <row r="112" spans="1:12" x14ac:dyDescent="0.25">
      <c r="B112" s="57"/>
      <c r="C112" s="57"/>
      <c r="D112" s="57"/>
      <c r="E112" s="57"/>
      <c r="I112" s="59"/>
    </row>
    <row r="113" spans="2:5" x14ac:dyDescent="0.25">
      <c r="B113" s="57"/>
      <c r="C113" s="57"/>
      <c r="D113" s="57"/>
      <c r="E113" s="57"/>
    </row>
    <row r="114" spans="2:5" x14ac:dyDescent="0.25">
      <c r="B114" s="57"/>
      <c r="C114" s="57"/>
      <c r="D114" s="57"/>
      <c r="E114" s="57"/>
    </row>
    <row r="115" spans="2:5" x14ac:dyDescent="0.25">
      <c r="B115" s="57"/>
      <c r="C115" s="57"/>
      <c r="D115" s="57"/>
      <c r="E115" s="57"/>
    </row>
    <row r="116" spans="2:5" x14ac:dyDescent="0.25">
      <c r="B116" s="57"/>
      <c r="C116" s="57"/>
      <c r="D116" s="57"/>
      <c r="E116" s="57"/>
    </row>
    <row r="117" spans="2:5" x14ac:dyDescent="0.25">
      <c r="B117" s="57"/>
      <c r="C117" s="57"/>
      <c r="D117" s="57"/>
      <c r="E117" s="5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8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2:AG128"/>
  <sheetViews>
    <sheetView zoomScale="25" zoomScaleNormal="25" zoomScaleSheetLayoutView="30" workbookViewId="0">
      <pane ySplit="14" topLeftCell="A93" activePane="bottomLeft" state="frozen"/>
      <selection activeCell="A16" sqref="A16"/>
      <selection pane="bottomLeft" activeCell="E109" sqref="E109"/>
    </sheetView>
  </sheetViews>
  <sheetFormatPr defaultRowHeight="57.75" x14ac:dyDescent="0.85"/>
  <cols>
    <col min="1" max="1" width="155.42578125" style="126" bestFit="1" customWidth="1"/>
    <col min="2" max="2" width="72.5703125" style="127" customWidth="1"/>
    <col min="3" max="8" width="65.7109375" style="127" customWidth="1"/>
    <col min="9" max="9" width="72.5703125" style="127" customWidth="1"/>
    <col min="10" max="10" width="40.7109375" style="127" customWidth="1"/>
    <col min="11" max="11" width="11.42578125" style="127" customWidth="1"/>
    <col min="12" max="12" width="155.42578125" style="127" bestFit="1" customWidth="1"/>
    <col min="13" max="13" width="78.7109375" style="127" customWidth="1"/>
    <col min="14" max="14" width="63.7109375" style="127" customWidth="1"/>
    <col min="15" max="15" width="57.7109375" style="127" customWidth="1"/>
    <col min="16" max="16" width="69.7109375" style="127" customWidth="1"/>
    <col min="17" max="17" width="54" style="127" customWidth="1"/>
    <col min="18" max="18" width="68.28515625" style="127" customWidth="1"/>
    <col min="19" max="19" width="72.140625" style="127" customWidth="1"/>
    <col min="20" max="20" width="80.7109375" style="127" customWidth="1"/>
    <col min="21" max="21" width="50.140625" style="126" customWidth="1"/>
    <col min="22" max="22" width="155.42578125" style="127" bestFit="1" customWidth="1"/>
    <col min="23" max="23" width="11.42578125" style="126" customWidth="1"/>
    <col min="24" max="24" width="80.7109375" style="126" customWidth="1"/>
    <col min="25" max="25" width="11.42578125" style="126" customWidth="1"/>
    <col min="26" max="26" width="80.7109375" style="126" customWidth="1"/>
    <col min="27" max="27" width="11.42578125" style="126" customWidth="1"/>
    <col min="28" max="28" width="80.7109375" style="128" customWidth="1"/>
    <col min="29" max="29" width="4.28515625" style="128" customWidth="1"/>
    <col min="30" max="30" width="80.7109375" style="129" customWidth="1"/>
    <col min="31" max="31" width="4.28515625" style="128" customWidth="1"/>
    <col min="32" max="32" width="50.7109375" style="129" customWidth="1"/>
  </cols>
  <sheetData>
    <row r="2" spans="1:32" ht="40.5" customHeight="1" x14ac:dyDescent="0.85">
      <c r="A2" s="183" t="s">
        <v>349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</row>
    <row r="3" spans="1:32" ht="40.5" customHeight="1" x14ac:dyDescent="0.85">
      <c r="A3" s="183" t="s">
        <v>450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</row>
    <row r="4" spans="1:32" ht="14.25" customHeight="1" thickBot="1" x14ac:dyDescent="0.9"/>
    <row r="5" spans="1:32" s="54" customFormat="1" ht="54.95" customHeight="1" x14ac:dyDescent="0.85">
      <c r="A5" s="184">
        <v>2018</v>
      </c>
      <c r="B5" s="185"/>
      <c r="C5" s="185"/>
      <c r="D5" s="185"/>
      <c r="E5" s="185"/>
      <c r="F5" s="185"/>
      <c r="G5" s="185"/>
      <c r="H5" s="185"/>
      <c r="I5" s="185"/>
      <c r="J5" s="186"/>
      <c r="K5" s="127"/>
      <c r="L5" s="184">
        <v>2017</v>
      </c>
      <c r="M5" s="185"/>
      <c r="N5" s="185"/>
      <c r="O5" s="185"/>
      <c r="P5" s="185"/>
      <c r="Q5" s="185"/>
      <c r="R5" s="185"/>
      <c r="S5" s="185"/>
      <c r="T5" s="185"/>
      <c r="U5" s="186"/>
      <c r="V5" s="171" t="s">
        <v>408</v>
      </c>
      <c r="W5" s="172"/>
      <c r="X5" s="172"/>
      <c r="Y5" s="172"/>
      <c r="Z5" s="172"/>
      <c r="AA5" s="172"/>
      <c r="AB5" s="172"/>
      <c r="AC5" s="172"/>
      <c r="AD5" s="172"/>
      <c r="AE5" s="172"/>
      <c r="AF5" s="173"/>
    </row>
    <row r="6" spans="1:32" s="54" customFormat="1" ht="54.95" customHeight="1" x14ac:dyDescent="0.85">
      <c r="A6" s="187" t="s">
        <v>409</v>
      </c>
      <c r="B6" s="188"/>
      <c r="C6" s="188"/>
      <c r="D6" s="188"/>
      <c r="E6" s="188"/>
      <c r="F6" s="188"/>
      <c r="G6" s="188"/>
      <c r="H6" s="188"/>
      <c r="I6" s="188"/>
      <c r="J6" s="189"/>
      <c r="K6" s="127"/>
      <c r="L6" s="187" t="s">
        <v>409</v>
      </c>
      <c r="M6" s="188"/>
      <c r="N6" s="188"/>
      <c r="O6" s="188"/>
      <c r="P6" s="188"/>
      <c r="Q6" s="188"/>
      <c r="R6" s="188"/>
      <c r="S6" s="188"/>
      <c r="T6" s="188"/>
      <c r="U6" s="189"/>
      <c r="V6" s="174"/>
      <c r="W6" s="175"/>
      <c r="X6" s="175"/>
      <c r="Y6" s="175"/>
      <c r="Z6" s="175"/>
      <c r="AA6" s="175"/>
      <c r="AB6" s="175"/>
      <c r="AC6" s="175"/>
      <c r="AD6" s="175"/>
      <c r="AE6" s="175"/>
      <c r="AF6" s="176"/>
    </row>
    <row r="7" spans="1:32" s="54" customFormat="1" ht="54.95" customHeight="1" x14ac:dyDescent="0.85">
      <c r="A7" s="187" t="s">
        <v>348</v>
      </c>
      <c r="B7" s="188"/>
      <c r="C7" s="188"/>
      <c r="D7" s="188"/>
      <c r="E7" s="188"/>
      <c r="F7" s="188"/>
      <c r="G7" s="188"/>
      <c r="H7" s="188"/>
      <c r="I7" s="188"/>
      <c r="J7" s="189"/>
      <c r="K7" s="127"/>
      <c r="L7" s="187" t="s">
        <v>348</v>
      </c>
      <c r="M7" s="188"/>
      <c r="N7" s="188"/>
      <c r="O7" s="188"/>
      <c r="P7" s="188"/>
      <c r="Q7" s="188"/>
      <c r="R7" s="188"/>
      <c r="S7" s="188"/>
      <c r="T7" s="188"/>
      <c r="U7" s="189"/>
      <c r="V7" s="174"/>
      <c r="W7" s="175"/>
      <c r="X7" s="175"/>
      <c r="Y7" s="175"/>
      <c r="Z7" s="175"/>
      <c r="AA7" s="175"/>
      <c r="AB7" s="175"/>
      <c r="AC7" s="175"/>
      <c r="AD7" s="175"/>
      <c r="AE7" s="175"/>
      <c r="AF7" s="176"/>
    </row>
    <row r="8" spans="1:32" s="54" customFormat="1" ht="54.95" customHeight="1" thickBot="1" x14ac:dyDescent="0.9">
      <c r="A8" s="180">
        <v>43312</v>
      </c>
      <c r="B8" s="181"/>
      <c r="C8" s="181"/>
      <c r="D8" s="181"/>
      <c r="E8" s="181"/>
      <c r="F8" s="181"/>
      <c r="G8" s="181"/>
      <c r="H8" s="181"/>
      <c r="I8" s="181"/>
      <c r="J8" s="182"/>
      <c r="K8" s="127"/>
      <c r="L8" s="180">
        <v>42947</v>
      </c>
      <c r="M8" s="181"/>
      <c r="N8" s="181"/>
      <c r="O8" s="181"/>
      <c r="P8" s="181"/>
      <c r="Q8" s="181"/>
      <c r="R8" s="181"/>
      <c r="S8" s="181"/>
      <c r="T8" s="181"/>
      <c r="U8" s="182"/>
      <c r="V8" s="177"/>
      <c r="W8" s="178"/>
      <c r="X8" s="178"/>
      <c r="Y8" s="178"/>
      <c r="Z8" s="178"/>
      <c r="AA8" s="178"/>
      <c r="AB8" s="178"/>
      <c r="AC8" s="178"/>
      <c r="AD8" s="178"/>
      <c r="AE8" s="178"/>
      <c r="AF8" s="179"/>
    </row>
    <row r="9" spans="1:32" s="63" customFormat="1" ht="54.95" customHeight="1" x14ac:dyDescent="0.85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27"/>
      <c r="L9" s="131"/>
      <c r="M9" s="131"/>
      <c r="N9" s="131"/>
      <c r="O9" s="131"/>
      <c r="P9" s="131"/>
      <c r="Q9" s="131"/>
      <c r="R9" s="131"/>
      <c r="S9" s="131"/>
      <c r="T9" s="131"/>
      <c r="U9" s="130"/>
      <c r="V9" s="131"/>
      <c r="W9" s="126"/>
      <c r="X9" s="132"/>
      <c r="Y9" s="126"/>
      <c r="Z9" s="132"/>
      <c r="AA9" s="126"/>
      <c r="AB9" s="132"/>
      <c r="AC9" s="132"/>
      <c r="AD9" s="132"/>
      <c r="AE9" s="132"/>
      <c r="AF9" s="132"/>
    </row>
    <row r="10" spans="1:32" s="63" customFormat="1" ht="54.95" customHeight="1" x14ac:dyDescent="0.85">
      <c r="A10" s="126"/>
      <c r="B10" s="127"/>
      <c r="C10" s="127"/>
      <c r="D10" s="127"/>
      <c r="E10" s="127"/>
      <c r="F10" s="127"/>
      <c r="G10" s="127"/>
      <c r="H10" s="127"/>
      <c r="I10" s="127"/>
      <c r="J10" s="131">
        <v>2018</v>
      </c>
      <c r="K10" s="131"/>
      <c r="L10" s="133"/>
      <c r="M10" s="133"/>
      <c r="N10" s="133"/>
      <c r="O10" s="133"/>
      <c r="P10" s="133"/>
      <c r="Q10" s="133"/>
      <c r="R10" s="133"/>
      <c r="S10" s="133"/>
      <c r="T10" s="133"/>
      <c r="U10" s="130">
        <v>2017</v>
      </c>
      <c r="V10" s="133"/>
      <c r="W10" s="130"/>
      <c r="X10" s="128"/>
      <c r="Y10" s="130"/>
      <c r="Z10" s="128"/>
      <c r="AA10" s="130"/>
      <c r="AB10" s="128"/>
      <c r="AC10" s="128"/>
      <c r="AD10" s="129"/>
      <c r="AE10" s="128"/>
      <c r="AF10" s="129"/>
    </row>
    <row r="11" spans="1:32" s="63" customFormat="1" ht="54.95" customHeight="1" x14ac:dyDescent="0.85">
      <c r="A11" s="126"/>
      <c r="B11" s="127"/>
      <c r="C11" s="127"/>
      <c r="D11" s="127"/>
      <c r="E11" s="127"/>
      <c r="F11" s="127"/>
      <c r="G11" s="127"/>
      <c r="H11" s="127"/>
      <c r="I11" s="127"/>
      <c r="J11" s="131" t="s">
        <v>347</v>
      </c>
      <c r="K11" s="131"/>
      <c r="L11" s="133"/>
      <c r="M11" s="133"/>
      <c r="N11" s="133"/>
      <c r="O11" s="133"/>
      <c r="P11" s="133"/>
      <c r="Q11" s="133"/>
      <c r="R11" s="133"/>
      <c r="S11" s="133"/>
      <c r="T11" s="133"/>
      <c r="U11" s="130" t="s">
        <v>347</v>
      </c>
      <c r="V11" s="133"/>
      <c r="W11" s="130"/>
      <c r="X11" s="128"/>
      <c r="Y11" s="130"/>
      <c r="Z11" s="128"/>
      <c r="AA11" s="130"/>
      <c r="AB11" s="128"/>
      <c r="AC11" s="128"/>
      <c r="AD11" s="130" t="s">
        <v>342</v>
      </c>
      <c r="AE11" s="128"/>
      <c r="AF11" s="129"/>
    </row>
    <row r="12" spans="1:32" s="63" customFormat="1" ht="54.95" customHeight="1" x14ac:dyDescent="0.85">
      <c r="A12" s="126"/>
      <c r="B12" s="127"/>
      <c r="C12" s="127"/>
      <c r="D12" s="127"/>
      <c r="E12" s="127"/>
      <c r="F12" s="127"/>
      <c r="G12" s="127"/>
      <c r="H12" s="127"/>
      <c r="I12" s="127"/>
      <c r="J12" s="131" t="s">
        <v>345</v>
      </c>
      <c r="K12" s="131"/>
      <c r="L12" s="127"/>
      <c r="M12" s="127"/>
      <c r="N12" s="127"/>
      <c r="O12" s="127"/>
      <c r="P12" s="127"/>
      <c r="Q12" s="127"/>
      <c r="R12" s="127"/>
      <c r="S12" s="127"/>
      <c r="T12" s="127"/>
      <c r="U12" s="130" t="s">
        <v>345</v>
      </c>
      <c r="V12" s="127"/>
      <c r="W12" s="130"/>
      <c r="X12" s="130"/>
      <c r="Y12" s="130"/>
      <c r="Z12" s="130"/>
      <c r="AA12" s="130"/>
      <c r="AB12" s="130" t="s">
        <v>342</v>
      </c>
      <c r="AC12" s="130"/>
      <c r="AD12" s="129" t="s">
        <v>345</v>
      </c>
      <c r="AE12" s="130"/>
      <c r="AF12" s="130" t="s">
        <v>344</v>
      </c>
    </row>
    <row r="13" spans="1:32" s="63" customFormat="1" ht="54.95" customHeight="1" x14ac:dyDescent="0.85">
      <c r="A13" s="126"/>
      <c r="B13" s="127"/>
      <c r="C13" s="127"/>
      <c r="D13" s="127"/>
      <c r="E13" s="127"/>
      <c r="F13" s="127"/>
      <c r="G13" s="127"/>
      <c r="H13" s="127"/>
      <c r="I13" s="131" t="s">
        <v>208</v>
      </c>
      <c r="J13" s="131" t="s">
        <v>208</v>
      </c>
      <c r="K13" s="131"/>
      <c r="L13" s="127"/>
      <c r="M13" s="127"/>
      <c r="N13" s="127"/>
      <c r="O13" s="127"/>
      <c r="P13" s="127"/>
      <c r="Q13" s="127"/>
      <c r="R13" s="127"/>
      <c r="S13" s="127"/>
      <c r="T13" s="131" t="s">
        <v>208</v>
      </c>
      <c r="U13" s="130" t="s">
        <v>208</v>
      </c>
      <c r="V13" s="127"/>
      <c r="W13" s="130"/>
      <c r="X13" s="130">
        <v>2018</v>
      </c>
      <c r="Y13" s="130"/>
      <c r="Z13" s="130">
        <v>2017</v>
      </c>
      <c r="AA13" s="130"/>
      <c r="AB13" s="130" t="s">
        <v>343</v>
      </c>
      <c r="AC13" s="130"/>
      <c r="AD13" s="130" t="s">
        <v>343</v>
      </c>
      <c r="AE13" s="130"/>
      <c r="AF13" s="130" t="s">
        <v>346</v>
      </c>
    </row>
    <row r="14" spans="1:32" s="63" customFormat="1" ht="54.95" customHeight="1" x14ac:dyDescent="0.85">
      <c r="A14" s="126"/>
      <c r="B14" s="134" t="s">
        <v>213</v>
      </c>
      <c r="C14" s="134" t="s">
        <v>215</v>
      </c>
      <c r="D14" s="134" t="s">
        <v>214</v>
      </c>
      <c r="E14" s="134" t="s">
        <v>216</v>
      </c>
      <c r="F14" s="134" t="s">
        <v>217</v>
      </c>
      <c r="G14" s="134" t="s">
        <v>410</v>
      </c>
      <c r="H14" s="134" t="s">
        <v>422</v>
      </c>
      <c r="I14" s="134">
        <v>2018</v>
      </c>
      <c r="J14" s="135" t="s">
        <v>341</v>
      </c>
      <c r="K14" s="135"/>
      <c r="L14" s="127"/>
      <c r="M14" s="134" t="s">
        <v>213</v>
      </c>
      <c r="N14" s="134" t="s">
        <v>215</v>
      </c>
      <c r="O14" s="134" t="s">
        <v>214</v>
      </c>
      <c r="P14" s="134" t="s">
        <v>216</v>
      </c>
      <c r="Q14" s="134" t="s">
        <v>217</v>
      </c>
      <c r="R14" s="134" t="s">
        <v>410</v>
      </c>
      <c r="S14" s="134" t="s">
        <v>422</v>
      </c>
      <c r="T14" s="134">
        <v>2017</v>
      </c>
      <c r="U14" s="135" t="s">
        <v>341</v>
      </c>
      <c r="V14" s="127"/>
      <c r="W14" s="135"/>
      <c r="X14" s="136"/>
      <c r="Y14" s="135"/>
      <c r="Z14" s="136"/>
      <c r="AA14" s="135"/>
      <c r="AB14" s="136" t="s">
        <v>340</v>
      </c>
      <c r="AC14" s="136"/>
      <c r="AD14" s="136" t="s">
        <v>341</v>
      </c>
      <c r="AE14" s="136"/>
      <c r="AF14" s="136" t="s">
        <v>341</v>
      </c>
    </row>
    <row r="15" spans="1:32" s="63" customFormat="1" ht="54.95" customHeight="1" x14ac:dyDescent="0.85">
      <c r="A15" s="137" t="s">
        <v>62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38" t="s">
        <v>62</v>
      </c>
      <c r="M15" s="127"/>
      <c r="N15" s="127"/>
      <c r="O15" s="127"/>
      <c r="P15" s="127"/>
      <c r="Q15" s="127"/>
      <c r="R15" s="127"/>
      <c r="S15" s="127"/>
      <c r="T15" s="127"/>
      <c r="U15" s="126"/>
      <c r="V15" s="138" t="s">
        <v>62</v>
      </c>
      <c r="W15" s="126"/>
      <c r="X15" s="126"/>
      <c r="Y15" s="126"/>
      <c r="Z15" s="126"/>
      <c r="AA15" s="126"/>
      <c r="AB15" s="126"/>
      <c r="AC15" s="126"/>
      <c r="AD15" s="129"/>
      <c r="AE15" s="126"/>
      <c r="AF15" s="129"/>
    </row>
    <row r="16" spans="1:32" s="63" customFormat="1" ht="54.95" customHeight="1" x14ac:dyDescent="0.85">
      <c r="A16" s="127" t="s">
        <v>218</v>
      </c>
      <c r="B16" s="139">
        <f>CNT!N103+CNT!N114</f>
        <v>767563258.41000009</v>
      </c>
      <c r="C16" s="139">
        <f>BPM!I8+BPM!I14</f>
        <v>49525249.450000003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f t="shared" ref="I16:I49" si="0">SUM(B16:H16)</f>
        <v>817088507.86000013</v>
      </c>
      <c r="J16" s="140">
        <f>I16/$I$23</f>
        <v>0.24156817231461847</v>
      </c>
      <c r="K16" s="140"/>
      <c r="L16" s="127" t="s">
        <v>218</v>
      </c>
      <c r="M16" s="139">
        <f>1217536067.47-17010959.73</f>
        <v>1200525107.74</v>
      </c>
      <c r="N16" s="139">
        <f>21491552.38-296.09</f>
        <v>21491256.289999999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f>SUM(M16:S16)</f>
        <v>1222016364.03</v>
      </c>
      <c r="U16" s="141">
        <f>T16/$T$23</f>
        <v>0.54287483422845839</v>
      </c>
      <c r="V16" s="127" t="s">
        <v>218</v>
      </c>
      <c r="W16" s="141"/>
      <c r="X16" s="142">
        <f>I16</f>
        <v>817088507.86000013</v>
      </c>
      <c r="Y16" s="141"/>
      <c r="Z16" s="142">
        <f>T16</f>
        <v>1222016364.03</v>
      </c>
      <c r="AA16" s="141"/>
      <c r="AB16" s="142">
        <f>I16-T16</f>
        <v>-404927856.16999984</v>
      </c>
      <c r="AC16" s="142"/>
      <c r="AD16" s="141">
        <f>I16/T16</f>
        <v>0.66863957955962439</v>
      </c>
      <c r="AE16" s="142"/>
      <c r="AF16" s="141">
        <f>AD16-1</f>
        <v>-0.33136042044037561</v>
      </c>
    </row>
    <row r="17" spans="1:32" s="63" customFormat="1" ht="54.95" customHeight="1" x14ac:dyDescent="0.85">
      <c r="A17" s="126" t="s">
        <v>219</v>
      </c>
      <c r="B17" s="139">
        <f>CNT!N104+CNT!N115</f>
        <v>2531829349.5300002</v>
      </c>
      <c r="C17" s="139">
        <f>BPM!I9</f>
        <v>2315412.0999999996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f t="shared" si="0"/>
        <v>2534144761.6300001</v>
      </c>
      <c r="J17" s="140">
        <f t="shared" ref="J17:J22" si="1">I17/$I$23</f>
        <v>0.74920735337586286</v>
      </c>
      <c r="K17" s="140"/>
      <c r="L17" s="127" t="s">
        <v>219</v>
      </c>
      <c r="M17" s="139">
        <f>1025748499.29-46150156.21</f>
        <v>979598343.07999992</v>
      </c>
      <c r="N17" s="139">
        <f>5604618.04-525.3</f>
        <v>5604092.7400000002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f t="shared" ref="T17:T93" si="2">SUM(M17:S17)</f>
        <v>985202435.81999993</v>
      </c>
      <c r="U17" s="141">
        <f t="shared" ref="U17:U22" si="3">T17/$T$23</f>
        <v>0.43767139685710932</v>
      </c>
      <c r="V17" s="127" t="s">
        <v>219</v>
      </c>
      <c r="W17" s="141"/>
      <c r="X17" s="142">
        <f t="shared" ref="X17:X80" si="4">I17</f>
        <v>2534144761.6300001</v>
      </c>
      <c r="Y17" s="141"/>
      <c r="Z17" s="142">
        <f t="shared" ref="Z17:Z80" si="5">T17</f>
        <v>985202435.81999993</v>
      </c>
      <c r="AA17" s="141"/>
      <c r="AB17" s="142">
        <f t="shared" ref="AB17:AB23" si="6">I17-T17</f>
        <v>1548942325.8100002</v>
      </c>
      <c r="AC17" s="142"/>
      <c r="AD17" s="141">
        <f t="shared" ref="AD17:AD22" si="7">I17/T17</f>
        <v>2.5722071621968641</v>
      </c>
      <c r="AE17" s="142"/>
      <c r="AF17" s="141">
        <f t="shared" ref="AF17:AF89" si="8">AD17-1</f>
        <v>1.5722071621968641</v>
      </c>
    </row>
    <row r="18" spans="1:32" s="63" customFormat="1" ht="54.95" customHeight="1" x14ac:dyDescent="0.85">
      <c r="A18" s="126" t="s">
        <v>220</v>
      </c>
      <c r="B18" s="139">
        <f>CNT!N105+CNT!N116</f>
        <v>11511703.640000001</v>
      </c>
      <c r="C18" s="139">
        <f>BPM!I10</f>
        <v>238623.53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f t="shared" si="0"/>
        <v>11750327.17</v>
      </c>
      <c r="J18" s="140">
        <f t="shared" si="1"/>
        <v>3.4739260572761014E-3</v>
      </c>
      <c r="K18" s="140"/>
      <c r="L18" s="127" t="s">
        <v>220</v>
      </c>
      <c r="M18" s="139">
        <f>15746539.25-11691.5</f>
        <v>15734847.75</v>
      </c>
      <c r="N18" s="139">
        <v>1592597.28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f t="shared" si="2"/>
        <v>17327445.030000001</v>
      </c>
      <c r="U18" s="141">
        <f t="shared" si="3"/>
        <v>7.6976332929311305E-3</v>
      </c>
      <c r="V18" s="127" t="s">
        <v>220</v>
      </c>
      <c r="W18" s="141"/>
      <c r="X18" s="142">
        <f t="shared" si="4"/>
        <v>11750327.17</v>
      </c>
      <c r="Y18" s="141"/>
      <c r="Z18" s="142">
        <f t="shared" si="5"/>
        <v>17327445.030000001</v>
      </c>
      <c r="AA18" s="141"/>
      <c r="AB18" s="142">
        <f t="shared" si="6"/>
        <v>-5577117.8600000013</v>
      </c>
      <c r="AC18" s="142"/>
      <c r="AD18" s="141">
        <f t="shared" si="7"/>
        <v>0.67813385929985537</v>
      </c>
      <c r="AE18" s="142"/>
      <c r="AF18" s="141">
        <f t="shared" si="8"/>
        <v>-0.32186614070014463</v>
      </c>
    </row>
    <row r="19" spans="1:32" s="63" customFormat="1" ht="54.95" customHeight="1" x14ac:dyDescent="0.85">
      <c r="A19" s="127" t="s">
        <v>430</v>
      </c>
      <c r="B19" s="139">
        <f>CNT!N106+CNT!N117</f>
        <v>10463892.91</v>
      </c>
      <c r="C19" s="139">
        <f>BPM!I11</f>
        <v>12906.5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f t="shared" si="0"/>
        <v>10476799.41</v>
      </c>
      <c r="J19" s="140">
        <f t="shared" si="1"/>
        <v>3.0974138796897761E-3</v>
      </c>
      <c r="K19" s="140"/>
      <c r="L19" s="127" t="s">
        <v>430</v>
      </c>
      <c r="M19" s="139">
        <f>20732243.24-860</f>
        <v>20731383.239999998</v>
      </c>
      <c r="N19" s="139">
        <v>11928.98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f t="shared" si="2"/>
        <v>20743312.219999999</v>
      </c>
      <c r="U19" s="141">
        <f t="shared" si="3"/>
        <v>9.2151157007789482E-3</v>
      </c>
      <c r="V19" s="127" t="s">
        <v>430</v>
      </c>
      <c r="W19" s="141"/>
      <c r="X19" s="142">
        <f t="shared" si="4"/>
        <v>10476799.41</v>
      </c>
      <c r="Y19" s="141"/>
      <c r="Z19" s="142">
        <f t="shared" si="5"/>
        <v>20743312.219999999</v>
      </c>
      <c r="AA19" s="141"/>
      <c r="AB19" s="142">
        <f t="shared" si="6"/>
        <v>-10266512.809999999</v>
      </c>
      <c r="AC19" s="142"/>
      <c r="AD19" s="141">
        <f t="shared" si="7"/>
        <v>0.50506878066939687</v>
      </c>
      <c r="AE19" s="142"/>
      <c r="AF19" s="141">
        <f t="shared" si="8"/>
        <v>-0.49493121933060313</v>
      </c>
    </row>
    <row r="20" spans="1:32" s="63" customFormat="1" ht="54.95" customHeight="1" x14ac:dyDescent="0.85">
      <c r="A20" s="126" t="s">
        <v>221</v>
      </c>
      <c r="B20" s="139">
        <f>CNT!N110+CNT!N120</f>
        <v>3688720.97</v>
      </c>
      <c r="C20" s="139">
        <f>0</f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f t="shared" si="0"/>
        <v>3688720.97</v>
      </c>
      <c r="J20" s="140">
        <f t="shared" si="1"/>
        <v>1.090552093597899E-3</v>
      </c>
      <c r="K20" s="140"/>
      <c r="L20" s="127" t="s">
        <v>221</v>
      </c>
      <c r="M20" s="139">
        <f>1254405-4425</f>
        <v>1249980</v>
      </c>
      <c r="N20" s="139">
        <v>25075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f t="shared" si="2"/>
        <v>1275055</v>
      </c>
      <c r="U20" s="141">
        <f t="shared" si="3"/>
        <v>5.664369906426015E-4</v>
      </c>
      <c r="V20" s="127" t="s">
        <v>221</v>
      </c>
      <c r="W20" s="141"/>
      <c r="X20" s="142">
        <f t="shared" si="4"/>
        <v>3688720.97</v>
      </c>
      <c r="Y20" s="141"/>
      <c r="Z20" s="142">
        <f t="shared" si="5"/>
        <v>1275055</v>
      </c>
      <c r="AA20" s="141"/>
      <c r="AB20" s="142">
        <f t="shared" si="6"/>
        <v>2413665.9700000002</v>
      </c>
      <c r="AC20" s="142"/>
      <c r="AD20" s="141">
        <f t="shared" si="7"/>
        <v>2.8929896906407961</v>
      </c>
      <c r="AE20" s="142"/>
      <c r="AF20" s="141">
        <f t="shared" si="8"/>
        <v>1.8929896906407961</v>
      </c>
    </row>
    <row r="21" spans="1:32" s="63" customFormat="1" ht="54.95" customHeight="1" x14ac:dyDescent="0.85">
      <c r="A21" s="126" t="s">
        <v>222</v>
      </c>
      <c r="B21" s="139">
        <f>CNT!N121+CNT!N122</f>
        <v>455634.28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f t="shared" si="0"/>
        <v>455634.28</v>
      </c>
      <c r="J21" s="140">
        <f t="shared" si="1"/>
        <v>1.347060192435676E-4</v>
      </c>
      <c r="K21" s="140"/>
      <c r="L21" s="127" t="s">
        <v>222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f t="shared" si="2"/>
        <v>0</v>
      </c>
      <c r="U21" s="141">
        <f t="shared" si="3"/>
        <v>0</v>
      </c>
      <c r="V21" s="127" t="s">
        <v>222</v>
      </c>
      <c r="W21" s="141"/>
      <c r="X21" s="142">
        <f t="shared" si="4"/>
        <v>455634.28</v>
      </c>
      <c r="Y21" s="141"/>
      <c r="Z21" s="142">
        <f t="shared" si="5"/>
        <v>0</v>
      </c>
      <c r="AA21" s="141"/>
      <c r="AB21" s="142">
        <f t="shared" si="6"/>
        <v>455634.28</v>
      </c>
      <c r="AC21" s="142"/>
      <c r="AD21" s="143">
        <v>0</v>
      </c>
      <c r="AE21" s="142"/>
      <c r="AF21" s="143">
        <v>0</v>
      </c>
    </row>
    <row r="22" spans="1:32" s="63" customFormat="1" ht="54.95" customHeight="1" x14ac:dyDescent="0.85">
      <c r="A22" s="126" t="s">
        <v>223</v>
      </c>
      <c r="B22" s="139">
        <f>CNT!N108+CNT!N109+CNT!N111+CNT!N112+CNT!N113+CNT!N107</f>
        <v>618161.03</v>
      </c>
      <c r="C22" s="139">
        <f>BPM!I12+BPM!I13</f>
        <v>2308174</v>
      </c>
      <c r="D22" s="139">
        <f>DEP!I17</f>
        <v>1376642.58</v>
      </c>
      <c r="E22" s="139">
        <v>0</v>
      </c>
      <c r="F22" s="139">
        <f>'BSC (Dome)'!I14</f>
        <v>526720.24</v>
      </c>
      <c r="G22" s="139">
        <v>0</v>
      </c>
      <c r="H22" s="139">
        <v>0</v>
      </c>
      <c r="I22" s="139">
        <f t="shared" si="0"/>
        <v>4829697.8500000006</v>
      </c>
      <c r="J22" s="140">
        <f t="shared" si="1"/>
        <v>1.4278762597114446E-3</v>
      </c>
      <c r="K22" s="140"/>
      <c r="L22" s="127" t="s">
        <v>223</v>
      </c>
      <c r="M22" s="139">
        <f>415+1130362.62+339028.47+45198.54+145850.54-1089</f>
        <v>1659766.1700000002</v>
      </c>
      <c r="N22" s="139">
        <f>192+51542.07+968672.08</f>
        <v>1020406.1499999999</v>
      </c>
      <c r="O22" s="139">
        <v>1188181.05</v>
      </c>
      <c r="P22" s="139">
        <v>0</v>
      </c>
      <c r="Q22" s="139">
        <f>576451.4</f>
        <v>576451.4</v>
      </c>
      <c r="R22" s="139">
        <v>0</v>
      </c>
      <c r="S22" s="139">
        <v>0</v>
      </c>
      <c r="T22" s="139">
        <f t="shared" si="2"/>
        <v>4444804.7700000005</v>
      </c>
      <c r="U22" s="141">
        <f t="shared" si="3"/>
        <v>1.9745829300796287E-3</v>
      </c>
      <c r="V22" s="127" t="s">
        <v>223</v>
      </c>
      <c r="W22" s="141"/>
      <c r="X22" s="142">
        <f t="shared" si="4"/>
        <v>4829697.8500000006</v>
      </c>
      <c r="Y22" s="141"/>
      <c r="Z22" s="142">
        <f t="shared" si="5"/>
        <v>4444804.7700000005</v>
      </c>
      <c r="AA22" s="141"/>
      <c r="AB22" s="142">
        <f t="shared" si="6"/>
        <v>384893.08000000007</v>
      </c>
      <c r="AC22" s="142"/>
      <c r="AD22" s="141">
        <f t="shared" si="7"/>
        <v>1.0865939225492687</v>
      </c>
      <c r="AE22" s="142"/>
      <c r="AF22" s="141">
        <f t="shared" si="8"/>
        <v>8.6593922549268676E-2</v>
      </c>
    </row>
    <row r="23" spans="1:32" s="63" customFormat="1" ht="54.95" customHeight="1" x14ac:dyDescent="0.85">
      <c r="A23" s="137" t="s">
        <v>224</v>
      </c>
      <c r="B23" s="144">
        <f>SUM(B16:B22)</f>
        <v>3326130720.7700005</v>
      </c>
      <c r="C23" s="144">
        <f t="shared" ref="C23:H23" si="9">SUM(C16:C22)</f>
        <v>54400365.580000006</v>
      </c>
      <c r="D23" s="144">
        <f t="shared" si="9"/>
        <v>1376642.58</v>
      </c>
      <c r="E23" s="144">
        <f t="shared" si="9"/>
        <v>0</v>
      </c>
      <c r="F23" s="144">
        <f>SUM(F16:F22)</f>
        <v>526720.24</v>
      </c>
      <c r="G23" s="144">
        <f>SUM(G16:G22)</f>
        <v>0</v>
      </c>
      <c r="H23" s="144">
        <f t="shared" si="9"/>
        <v>0</v>
      </c>
      <c r="I23" s="144">
        <f t="shared" si="0"/>
        <v>3382434449.1700001</v>
      </c>
      <c r="J23" s="145">
        <f>SUM(J16:J22)</f>
        <v>1.0000000000000002</v>
      </c>
      <c r="K23" s="146"/>
      <c r="L23" s="138" t="s">
        <v>224</v>
      </c>
      <c r="M23" s="144">
        <f>SUM(M16:M22)</f>
        <v>2219499427.9799995</v>
      </c>
      <c r="N23" s="144">
        <f t="shared" ref="N23:S23" si="10">SUM(N16:N22)</f>
        <v>29745356.440000001</v>
      </c>
      <c r="O23" s="144">
        <f t="shared" si="10"/>
        <v>1188181.05</v>
      </c>
      <c r="P23" s="144">
        <f t="shared" si="10"/>
        <v>0</v>
      </c>
      <c r="Q23" s="144">
        <f>SUM(Q16:Q22)</f>
        <v>576451.4</v>
      </c>
      <c r="R23" s="144">
        <f>SUM(R16:R22)</f>
        <v>0</v>
      </c>
      <c r="S23" s="144">
        <f t="shared" si="10"/>
        <v>0</v>
      </c>
      <c r="T23" s="144">
        <f t="shared" si="2"/>
        <v>2251009416.8699999</v>
      </c>
      <c r="U23" s="147">
        <f>SUM(U16:U22)</f>
        <v>1</v>
      </c>
      <c r="V23" s="138" t="s">
        <v>224</v>
      </c>
      <c r="W23" s="148"/>
      <c r="X23" s="149">
        <f t="shared" si="4"/>
        <v>3382434449.1700001</v>
      </c>
      <c r="Y23" s="148"/>
      <c r="Z23" s="149">
        <f t="shared" si="5"/>
        <v>2251009416.8699999</v>
      </c>
      <c r="AA23" s="148"/>
      <c r="AB23" s="149">
        <f t="shared" si="6"/>
        <v>1131425032.3000002</v>
      </c>
      <c r="AC23" s="149"/>
      <c r="AD23" s="147">
        <f>I23/T23</f>
        <v>1.502630075121246</v>
      </c>
      <c r="AE23" s="149"/>
      <c r="AF23" s="147">
        <f t="shared" si="8"/>
        <v>0.50263007512124602</v>
      </c>
    </row>
    <row r="24" spans="1:32" s="63" customFormat="1" ht="54.95" customHeight="1" x14ac:dyDescent="0.85">
      <c r="A24" s="126"/>
      <c r="B24" s="139"/>
      <c r="C24" s="139"/>
      <c r="D24" s="139"/>
      <c r="E24" s="139"/>
      <c r="F24" s="139"/>
      <c r="G24" s="139"/>
      <c r="H24" s="139"/>
      <c r="I24" s="139">
        <f t="shared" si="0"/>
        <v>0</v>
      </c>
      <c r="J24" s="127"/>
      <c r="K24" s="127"/>
      <c r="L24" s="127"/>
      <c r="M24" s="139"/>
      <c r="N24" s="139"/>
      <c r="O24" s="139"/>
      <c r="P24" s="139"/>
      <c r="Q24" s="139"/>
      <c r="R24" s="139"/>
      <c r="S24" s="139"/>
      <c r="T24" s="139">
        <f t="shared" si="2"/>
        <v>0</v>
      </c>
      <c r="U24" s="126"/>
      <c r="V24" s="127"/>
      <c r="W24" s="126"/>
      <c r="X24" s="142"/>
      <c r="Y24" s="126"/>
      <c r="Z24" s="142">
        <f t="shared" si="5"/>
        <v>0</v>
      </c>
      <c r="AA24" s="126"/>
      <c r="AB24" s="142"/>
      <c r="AC24" s="142"/>
      <c r="AD24" s="150"/>
      <c r="AE24" s="142"/>
      <c r="AF24" s="150"/>
    </row>
    <row r="25" spans="1:32" s="63" customFormat="1" ht="54.95" customHeight="1" x14ac:dyDescent="0.85">
      <c r="A25" s="137" t="s">
        <v>209</v>
      </c>
      <c r="B25" s="139"/>
      <c r="C25" s="139"/>
      <c r="D25" s="139"/>
      <c r="E25" s="139"/>
      <c r="F25" s="139"/>
      <c r="G25" s="139"/>
      <c r="H25" s="139"/>
      <c r="I25" s="139">
        <f t="shared" si="0"/>
        <v>0</v>
      </c>
      <c r="J25" s="127"/>
      <c r="K25" s="127"/>
      <c r="L25" s="138" t="s">
        <v>209</v>
      </c>
      <c r="M25" s="139"/>
      <c r="N25" s="139"/>
      <c r="O25" s="139"/>
      <c r="P25" s="139"/>
      <c r="Q25" s="139"/>
      <c r="R25" s="139"/>
      <c r="S25" s="139"/>
      <c r="T25" s="139">
        <f t="shared" si="2"/>
        <v>0</v>
      </c>
      <c r="U25" s="126"/>
      <c r="V25" s="138" t="s">
        <v>209</v>
      </c>
      <c r="W25" s="126"/>
      <c r="X25" s="142"/>
      <c r="Y25" s="126"/>
      <c r="Z25" s="142">
        <f t="shared" si="5"/>
        <v>0</v>
      </c>
      <c r="AA25" s="126"/>
      <c r="AB25" s="142"/>
      <c r="AC25" s="142"/>
      <c r="AD25" s="150"/>
      <c r="AE25" s="142"/>
      <c r="AF25" s="150"/>
    </row>
    <row r="26" spans="1:32" s="63" customFormat="1" ht="54.95" customHeight="1" x14ac:dyDescent="0.85">
      <c r="A26" s="126" t="s">
        <v>218</v>
      </c>
      <c r="B26" s="139">
        <f>CNT!N127+CNT!N139+CNT!N144+CNT!N143+CNT!N148+CNT!N152+CNT!N159</f>
        <v>766042163.7299999</v>
      </c>
      <c r="C26" s="139">
        <f>BPM!I18+BPM!I29</f>
        <v>49429244.659999996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f t="shared" si="0"/>
        <v>815471408.38999987</v>
      </c>
      <c r="J26" s="140">
        <f>I26/$I$33</f>
        <v>0.24154031211295682</v>
      </c>
      <c r="K26" s="140"/>
      <c r="L26" s="127" t="s">
        <v>218</v>
      </c>
      <c r="M26" s="139">
        <f>1198367290.56+202962429.69+-2319451782.15+-203099488.75+2311769532.45+-1328322.53+1518956.27</f>
        <v>1190738615.5399997</v>
      </c>
      <c r="N26" s="139">
        <f>21239257.08+606.81+9312.06</f>
        <v>21249175.949999996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f t="shared" si="2"/>
        <v>1211987791.4899998</v>
      </c>
      <c r="U26" s="141">
        <f>T26/$T$33</f>
        <v>0.5395977524390535</v>
      </c>
      <c r="V26" s="127" t="s">
        <v>218</v>
      </c>
      <c r="W26" s="141"/>
      <c r="X26" s="142">
        <f t="shared" si="4"/>
        <v>815471408.38999987</v>
      </c>
      <c r="Y26" s="141"/>
      <c r="Z26" s="142">
        <f t="shared" si="5"/>
        <v>1211987791.4899998</v>
      </c>
      <c r="AA26" s="141"/>
      <c r="AB26" s="142">
        <f>I26-T26</f>
        <v>-396516383.0999999</v>
      </c>
      <c r="AC26" s="142"/>
      <c r="AD26" s="141">
        <f>I26/T26</f>
        <v>0.67283797255702671</v>
      </c>
      <c r="AE26" s="142"/>
      <c r="AF26" s="141">
        <f t="shared" si="8"/>
        <v>-0.32716202744297329</v>
      </c>
    </row>
    <row r="27" spans="1:32" s="63" customFormat="1" ht="54.95" customHeight="1" x14ac:dyDescent="0.85">
      <c r="A27" s="126" t="s">
        <v>219</v>
      </c>
      <c r="B27" s="139">
        <f>CNT!N128+CNT!N140+CNT!N145+CNT!N149+CNT!N153+CNT!N156+CNT!N160</f>
        <v>2530114423.3800001</v>
      </c>
      <c r="C27" s="139">
        <f>BPM!I19+BPM!I30</f>
        <v>2132368.71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f t="shared" si="0"/>
        <v>2532246792.0900002</v>
      </c>
      <c r="J27" s="140">
        <f t="shared" ref="J27:J32" si="11">I27/$I$33</f>
        <v>0.75004429856838728</v>
      </c>
      <c r="K27" s="140"/>
      <c r="L27" s="127" t="s">
        <v>219</v>
      </c>
      <c r="M27" s="139">
        <f>985573325.97+555793264.22+-554519211.53+4754405830.99+-444356.12+-4750275836.39+-3540942.44</f>
        <v>986992074.69999933</v>
      </c>
      <c r="N27" s="139">
        <f>5558520.89+156.76-93017.65</f>
        <v>5465659.9999999991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f t="shared" si="2"/>
        <v>992457734.69999933</v>
      </c>
      <c r="U27" s="141">
        <f t="shared" ref="U27:U32" si="12">T27/$T$33</f>
        <v>0.44185920583944494</v>
      </c>
      <c r="V27" s="127" t="s">
        <v>219</v>
      </c>
      <c r="W27" s="141"/>
      <c r="X27" s="142">
        <f t="shared" si="4"/>
        <v>2532246792.0900002</v>
      </c>
      <c r="Y27" s="141"/>
      <c r="Z27" s="142">
        <f t="shared" si="5"/>
        <v>992457734.69999933</v>
      </c>
      <c r="AA27" s="141"/>
      <c r="AB27" s="142">
        <f t="shared" ref="AB27:AB32" si="13">I27-T27</f>
        <v>1539789057.3900008</v>
      </c>
      <c r="AC27" s="142"/>
      <c r="AD27" s="141">
        <f t="shared" ref="AD27:AD32" si="14">I27/T27</f>
        <v>2.5514908127099729</v>
      </c>
      <c r="AE27" s="142"/>
      <c r="AF27" s="141">
        <f t="shared" si="8"/>
        <v>1.5514908127099729</v>
      </c>
    </row>
    <row r="28" spans="1:32" s="63" customFormat="1" ht="54.95" customHeight="1" x14ac:dyDescent="0.85">
      <c r="A28" s="126" t="s">
        <v>220</v>
      </c>
      <c r="B28" s="139">
        <f>CNT!N129+CNT!N141+CNT!N146+CNT!N150+CNT!N154+CNT!N158+CNT!N161</f>
        <v>11413528.729999999</v>
      </c>
      <c r="C28" s="139">
        <f>BPM!I20+BPM!I31</f>
        <v>224280.78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f t="shared" si="0"/>
        <v>11637809.509999998</v>
      </c>
      <c r="J28" s="140">
        <f t="shared" si="11"/>
        <v>3.4470860810513829E-3</v>
      </c>
      <c r="K28" s="140"/>
      <c r="L28" s="127" t="s">
        <v>220</v>
      </c>
      <c r="M28" s="139">
        <f>15697792.07+6064045+-6150825+4062251.97+3965.91+-4092867.5+-78134.79</f>
        <v>15506227.66</v>
      </c>
      <c r="N28" s="139">
        <f>1533642.15+2880.85</f>
        <v>1536523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f t="shared" si="2"/>
        <v>17042750.66</v>
      </c>
      <c r="U28" s="141">
        <f t="shared" si="12"/>
        <v>7.5877249062133601E-3</v>
      </c>
      <c r="V28" s="127" t="s">
        <v>220</v>
      </c>
      <c r="W28" s="141"/>
      <c r="X28" s="142">
        <f t="shared" si="4"/>
        <v>11637809.509999998</v>
      </c>
      <c r="Y28" s="141"/>
      <c r="Z28" s="142">
        <f t="shared" si="5"/>
        <v>17042750.66</v>
      </c>
      <c r="AA28" s="141"/>
      <c r="AB28" s="142">
        <f>I28-T28</f>
        <v>-5404941.1500000022</v>
      </c>
      <c r="AC28" s="142"/>
      <c r="AD28" s="141">
        <f t="shared" si="14"/>
        <v>0.68285981190315659</v>
      </c>
      <c r="AE28" s="142"/>
      <c r="AF28" s="141">
        <f t="shared" si="8"/>
        <v>-0.31714018809684341</v>
      </c>
    </row>
    <row r="29" spans="1:32" s="63" customFormat="1" ht="54.95" customHeight="1" x14ac:dyDescent="0.85">
      <c r="A29" s="126" t="s">
        <v>430</v>
      </c>
      <c r="B29" s="139">
        <f>CNT!N130+CNT!N151+CNT!N155+CNT!N162+CNT!N163+CNT!N147+CNT!N142</f>
        <v>11041756.470000003</v>
      </c>
      <c r="C29" s="139">
        <f>BPM!I21</f>
        <v>8094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f t="shared" si="0"/>
        <v>11049850.470000003</v>
      </c>
      <c r="J29" s="140">
        <f t="shared" si="11"/>
        <v>3.2729342854518071E-3</v>
      </c>
      <c r="K29" s="140"/>
      <c r="L29" s="127" t="s">
        <v>430</v>
      </c>
      <c r="M29" s="139">
        <f>20440822.56+153873.75+-157755+2039017.9+-85252.41+873908.37+-2382613.5</f>
        <v>20882001.669999998</v>
      </c>
      <c r="N29" s="139">
        <f>11092.65-65</f>
        <v>11027.65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f t="shared" si="2"/>
        <v>20893029.319999997</v>
      </c>
      <c r="U29" s="141">
        <f t="shared" si="12"/>
        <v>9.3019350045229123E-3</v>
      </c>
      <c r="V29" s="127" t="s">
        <v>430</v>
      </c>
      <c r="W29" s="141"/>
      <c r="X29" s="142">
        <f t="shared" si="4"/>
        <v>11049850.470000003</v>
      </c>
      <c r="Y29" s="141"/>
      <c r="Z29" s="142">
        <f t="shared" si="5"/>
        <v>20893029.319999997</v>
      </c>
      <c r="AA29" s="141"/>
      <c r="AB29" s="142">
        <f t="shared" si="13"/>
        <v>-9843178.849999994</v>
      </c>
      <c r="AC29" s="142"/>
      <c r="AD29" s="141">
        <f t="shared" si="14"/>
        <v>0.52887737344160313</v>
      </c>
      <c r="AE29" s="142"/>
      <c r="AF29" s="141">
        <f t="shared" si="8"/>
        <v>-0.47112262655839687</v>
      </c>
    </row>
    <row r="30" spans="1:32" s="63" customFormat="1" ht="54.95" customHeight="1" x14ac:dyDescent="0.85">
      <c r="A30" s="126" t="s">
        <v>221</v>
      </c>
      <c r="B30" s="139">
        <f>CNT!N133+CNT!N157+CNT!N168</f>
        <v>3623297.6100000003</v>
      </c>
      <c r="C30" s="139">
        <f>0</f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f t="shared" si="0"/>
        <v>3623297.6100000003</v>
      </c>
      <c r="J30" s="140">
        <f t="shared" si="11"/>
        <v>1.0732104480835195E-3</v>
      </c>
      <c r="K30" s="140"/>
      <c r="L30" s="127" t="s">
        <v>221</v>
      </c>
      <c r="M30" s="139">
        <f>1191971.6+24000</f>
        <v>1215971.6000000001</v>
      </c>
      <c r="N30" s="139">
        <v>23167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f t="shared" si="2"/>
        <v>1239138.6000000001</v>
      </c>
      <c r="U30" s="141">
        <f t="shared" si="12"/>
        <v>5.5168575807060217E-4</v>
      </c>
      <c r="V30" s="127" t="s">
        <v>221</v>
      </c>
      <c r="W30" s="141"/>
      <c r="X30" s="142">
        <f t="shared" si="4"/>
        <v>3623297.6100000003</v>
      </c>
      <c r="Y30" s="141"/>
      <c r="Z30" s="142">
        <f t="shared" si="5"/>
        <v>1239138.6000000001</v>
      </c>
      <c r="AA30" s="141"/>
      <c r="AB30" s="142">
        <f t="shared" si="13"/>
        <v>2384159.0100000002</v>
      </c>
      <c r="AC30" s="142"/>
      <c r="AD30" s="141">
        <f t="shared" si="14"/>
        <v>2.924045469974061</v>
      </c>
      <c r="AE30" s="142"/>
      <c r="AF30" s="141">
        <f t="shared" si="8"/>
        <v>1.924045469974061</v>
      </c>
    </row>
    <row r="31" spans="1:32" s="63" customFormat="1" ht="54.95" customHeight="1" x14ac:dyDescent="0.85">
      <c r="A31" s="126" t="s">
        <v>222</v>
      </c>
      <c r="B31" s="139">
        <f>CNT!N179+CNT!N180+CNT!N182+CNT!N183+CNT!N184+CNT!N181</f>
        <v>342980.76</v>
      </c>
      <c r="C31" s="139">
        <f>BPM!I27</f>
        <v>350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f t="shared" si="0"/>
        <v>343330.76</v>
      </c>
      <c r="J31" s="140">
        <f t="shared" si="11"/>
        <v>1.0169359474185044E-4</v>
      </c>
      <c r="K31" s="140"/>
      <c r="L31" s="127" t="s">
        <v>222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f t="shared" si="2"/>
        <v>0</v>
      </c>
      <c r="U31" s="141">
        <f t="shared" si="12"/>
        <v>0</v>
      </c>
      <c r="V31" s="127" t="s">
        <v>222</v>
      </c>
      <c r="W31" s="141"/>
      <c r="X31" s="142">
        <f t="shared" si="4"/>
        <v>343330.76</v>
      </c>
      <c r="Y31" s="141"/>
      <c r="Z31" s="142">
        <f t="shared" si="5"/>
        <v>0</v>
      </c>
      <c r="AA31" s="141"/>
      <c r="AB31" s="142">
        <f t="shared" si="13"/>
        <v>343330.76</v>
      </c>
      <c r="AC31" s="142"/>
      <c r="AD31" s="143">
        <v>0</v>
      </c>
      <c r="AE31" s="142"/>
      <c r="AF31" s="143">
        <v>0</v>
      </c>
    </row>
    <row r="32" spans="1:32" s="63" customFormat="1" ht="54.95" customHeight="1" x14ac:dyDescent="0.85">
      <c r="A32" s="126" t="s">
        <v>223</v>
      </c>
      <c r="B32" s="139">
        <f>CNT!N125+CNT!N132+CNT!N134+CNT!N135+CNT!N137+CNT!N138+CNT!N164+CNT!N165+CNT!N166+CNT!N169+CNT!N170+CNT!N171+CNT!N172+CNT!N173+CNT!N174+CNT!N175+CNT!N176+CNT!N177+CNT!N178+CNT!N167+CNT!N131</f>
        <v>-275855.05000000086</v>
      </c>
      <c r="C32" s="139">
        <f>BPM!I22+BPM!I23+BPM!I24+BPM!I32+BPM!I33+BPM!I26+BPM!I28+BPM!H25</f>
        <v>1864212.66</v>
      </c>
      <c r="D32" s="139">
        <f>DEP!I23</f>
        <v>167151.18</v>
      </c>
      <c r="E32" s="139">
        <v>0</v>
      </c>
      <c r="F32" s="139">
        <f>'BSC (Dome)'!I18</f>
        <v>1648.2199999999998</v>
      </c>
      <c r="G32" s="139">
        <v>0</v>
      </c>
      <c r="H32" s="139">
        <v>0</v>
      </c>
      <c r="I32" s="139">
        <f t="shared" si="0"/>
        <v>1757157.0099999988</v>
      </c>
      <c r="J32" s="140">
        <f t="shared" si="11"/>
        <v>5.2046490932749958E-4</v>
      </c>
      <c r="K32" s="140"/>
      <c r="L32" s="127" t="s">
        <v>223</v>
      </c>
      <c r="M32" s="139">
        <f>-10636.29+60.6+1019588.16+1058302.64+26758.06+1250+9+39351.67+176457.84+-1340745.96+176416.7+3807+21448.66+93342.98+272.72-1266.32+1623.68+-175</f>
        <v>1265866.1399999994</v>
      </c>
      <c r="N32" s="139">
        <f>51195.44+165920.54+-3176.47+2770.02+820.8+533660.27+300430.47</f>
        <v>1051621.0699999998</v>
      </c>
      <c r="O32" s="139">
        <v>156108.47</v>
      </c>
      <c r="P32" s="139">
        <v>0</v>
      </c>
      <c r="Q32" s="139">
        <v>918.27</v>
      </c>
      <c r="R32" s="139">
        <v>0</v>
      </c>
      <c r="S32" s="139">
        <v>0</v>
      </c>
      <c r="T32" s="139">
        <f t="shared" si="2"/>
        <v>2474513.9499999993</v>
      </c>
      <c r="U32" s="141">
        <f t="shared" si="12"/>
        <v>1.1016960526950169E-3</v>
      </c>
      <c r="V32" s="127" t="s">
        <v>223</v>
      </c>
      <c r="W32" s="141"/>
      <c r="X32" s="142">
        <f t="shared" si="4"/>
        <v>1757157.0099999988</v>
      </c>
      <c r="Y32" s="141"/>
      <c r="Z32" s="142">
        <f t="shared" si="5"/>
        <v>2474513.9499999993</v>
      </c>
      <c r="AA32" s="141"/>
      <c r="AB32" s="142">
        <f t="shared" si="13"/>
        <v>-717356.94000000041</v>
      </c>
      <c r="AC32" s="142"/>
      <c r="AD32" s="141">
        <f t="shared" si="14"/>
        <v>0.71010188081582626</v>
      </c>
      <c r="AE32" s="142"/>
      <c r="AF32" s="141">
        <f t="shared" si="8"/>
        <v>-0.28989811918417374</v>
      </c>
    </row>
    <row r="33" spans="1:32" s="63" customFormat="1" ht="54.95" customHeight="1" x14ac:dyDescent="0.85">
      <c r="A33" s="137" t="s">
        <v>225</v>
      </c>
      <c r="B33" s="144">
        <f>SUM(B26:B32)</f>
        <v>3322302295.6300001</v>
      </c>
      <c r="C33" s="144">
        <f t="shared" ref="C33:H33" si="15">SUM(C26:C32)</f>
        <v>53658550.809999995</v>
      </c>
      <c r="D33" s="144">
        <f t="shared" si="15"/>
        <v>167151.18</v>
      </c>
      <c r="E33" s="144">
        <f t="shared" si="15"/>
        <v>0</v>
      </c>
      <c r="F33" s="144">
        <f>SUM(F26:F32)</f>
        <v>1648.2199999999998</v>
      </c>
      <c r="G33" s="144">
        <f>SUM(G26:G32)</f>
        <v>0</v>
      </c>
      <c r="H33" s="144">
        <f t="shared" si="15"/>
        <v>0</v>
      </c>
      <c r="I33" s="144">
        <f t="shared" si="0"/>
        <v>3376129645.8399997</v>
      </c>
      <c r="J33" s="145">
        <f>SUM(J26:J32)</f>
        <v>1.0000000000000002</v>
      </c>
      <c r="K33" s="146"/>
      <c r="L33" s="138" t="s">
        <v>225</v>
      </c>
      <c r="M33" s="144">
        <f>SUM(M26:M32)</f>
        <v>2216600757.3099985</v>
      </c>
      <c r="N33" s="144">
        <f t="shared" ref="N33:S33" si="16">SUM(N26:N32)</f>
        <v>29337174.669999994</v>
      </c>
      <c r="O33" s="144">
        <f t="shared" si="16"/>
        <v>156108.47</v>
      </c>
      <c r="P33" s="144">
        <f t="shared" si="16"/>
        <v>0</v>
      </c>
      <c r="Q33" s="144">
        <f>SUM(Q26:Q32)</f>
        <v>918.27</v>
      </c>
      <c r="R33" s="144">
        <f>SUM(R26:R32)</f>
        <v>0</v>
      </c>
      <c r="S33" s="144">
        <f t="shared" si="16"/>
        <v>0</v>
      </c>
      <c r="T33" s="144">
        <f t="shared" si="2"/>
        <v>2246094958.7199984</v>
      </c>
      <c r="U33" s="147">
        <f>SUM(U26:U32)</f>
        <v>1.0000000000000004</v>
      </c>
      <c r="V33" s="138" t="s">
        <v>225</v>
      </c>
      <c r="W33" s="148"/>
      <c r="X33" s="149">
        <f t="shared" si="4"/>
        <v>3376129645.8399997</v>
      </c>
      <c r="Y33" s="148"/>
      <c r="Z33" s="149">
        <f t="shared" si="5"/>
        <v>2246094958.7199984</v>
      </c>
      <c r="AA33" s="148"/>
      <c r="AB33" s="149">
        <f>SUM(AB26:AB32)</f>
        <v>1130034687.1200008</v>
      </c>
      <c r="AC33" s="149"/>
      <c r="AD33" s="147">
        <f>I33/T33</f>
        <v>1.5031108247373406</v>
      </c>
      <c r="AE33" s="149"/>
      <c r="AF33" s="147">
        <f t="shared" si="8"/>
        <v>0.50311082473734059</v>
      </c>
    </row>
    <row r="34" spans="1:32" s="63" customFormat="1" ht="54.95" customHeight="1" x14ac:dyDescent="0.85">
      <c r="A34" s="126"/>
      <c r="B34" s="139"/>
      <c r="C34" s="139"/>
      <c r="D34" s="139"/>
      <c r="E34" s="139"/>
      <c r="F34" s="139"/>
      <c r="G34" s="139"/>
      <c r="H34" s="139"/>
      <c r="I34" s="139"/>
      <c r="J34" s="127"/>
      <c r="K34" s="127"/>
      <c r="L34" s="127"/>
      <c r="M34" s="139"/>
      <c r="N34" s="139"/>
      <c r="O34" s="139"/>
      <c r="P34" s="139"/>
      <c r="Q34" s="139"/>
      <c r="R34" s="139"/>
      <c r="S34" s="139"/>
      <c r="T34" s="139"/>
      <c r="U34" s="126"/>
      <c r="V34" s="127"/>
      <c r="W34" s="126"/>
      <c r="X34" s="142"/>
      <c r="Y34" s="126"/>
      <c r="Z34" s="142"/>
      <c r="AA34" s="126"/>
      <c r="AB34" s="142"/>
      <c r="AC34" s="142"/>
      <c r="AD34" s="141"/>
      <c r="AE34" s="142"/>
      <c r="AF34" s="141"/>
    </row>
    <row r="35" spans="1:32" s="63" customFormat="1" ht="54.95" customHeight="1" thickBot="1" x14ac:dyDescent="0.9">
      <c r="A35" s="137" t="s">
        <v>212</v>
      </c>
      <c r="B35" s="151">
        <f>B23-B33</f>
        <v>3828425.1400003433</v>
      </c>
      <c r="C35" s="151">
        <f t="shared" ref="C35:H35" si="17">C23-C33</f>
        <v>741814.77000001073</v>
      </c>
      <c r="D35" s="151">
        <f t="shared" si="17"/>
        <v>1209491.4000000001</v>
      </c>
      <c r="E35" s="151">
        <f t="shared" si="17"/>
        <v>0</v>
      </c>
      <c r="F35" s="151">
        <f>F23-F33</f>
        <v>525072.02</v>
      </c>
      <c r="G35" s="151">
        <f>G23-G33</f>
        <v>0</v>
      </c>
      <c r="H35" s="151">
        <f t="shared" si="17"/>
        <v>0</v>
      </c>
      <c r="I35" s="151">
        <f t="shared" si="0"/>
        <v>6304803.330000354</v>
      </c>
      <c r="J35" s="127"/>
      <c r="K35" s="127"/>
      <c r="L35" s="138" t="s">
        <v>212</v>
      </c>
      <c r="M35" s="151">
        <f>M23-M33</f>
        <v>2898670.67000103</v>
      </c>
      <c r="N35" s="151">
        <f t="shared" ref="N35:S35" si="18">N23-N33</f>
        <v>408181.770000007</v>
      </c>
      <c r="O35" s="151">
        <f t="shared" si="18"/>
        <v>1032072.5800000001</v>
      </c>
      <c r="P35" s="151">
        <f t="shared" si="18"/>
        <v>0</v>
      </c>
      <c r="Q35" s="151">
        <f>Q23-Q33</f>
        <v>575533.13</v>
      </c>
      <c r="R35" s="151">
        <f>R23-R33</f>
        <v>0</v>
      </c>
      <c r="S35" s="151">
        <f t="shared" si="18"/>
        <v>0</v>
      </c>
      <c r="T35" s="151">
        <f t="shared" si="2"/>
        <v>4914458.1500010369</v>
      </c>
      <c r="U35" s="126"/>
      <c r="V35" s="138" t="s">
        <v>212</v>
      </c>
      <c r="W35" s="126"/>
      <c r="X35" s="152">
        <f t="shared" si="4"/>
        <v>6304803.330000354</v>
      </c>
      <c r="Y35" s="126"/>
      <c r="Z35" s="152">
        <f t="shared" si="5"/>
        <v>4914458.1500010369</v>
      </c>
      <c r="AA35" s="126"/>
      <c r="AB35" s="152">
        <f>I35-T35</f>
        <v>1390345.179999317</v>
      </c>
      <c r="AC35" s="152"/>
      <c r="AD35" s="153">
        <f>I35/T35</f>
        <v>1.2829091504216033</v>
      </c>
      <c r="AE35" s="152"/>
      <c r="AF35" s="153">
        <f t="shared" si="8"/>
        <v>0.28290915042160325</v>
      </c>
    </row>
    <row r="36" spans="1:32" s="63" customFormat="1" ht="54.95" customHeight="1" x14ac:dyDescent="0.85">
      <c r="A36" s="126"/>
      <c r="B36" s="139"/>
      <c r="C36" s="139"/>
      <c r="D36" s="139"/>
      <c r="E36" s="139"/>
      <c r="F36" s="139"/>
      <c r="G36" s="139"/>
      <c r="H36" s="139"/>
      <c r="I36" s="139">
        <f t="shared" si="0"/>
        <v>0</v>
      </c>
      <c r="J36" s="127"/>
      <c r="K36" s="127"/>
      <c r="L36" s="127"/>
      <c r="M36" s="139"/>
      <c r="N36" s="139"/>
      <c r="O36" s="139"/>
      <c r="P36" s="139"/>
      <c r="Q36" s="139"/>
      <c r="R36" s="139"/>
      <c r="S36" s="139"/>
      <c r="T36" s="139">
        <f t="shared" si="2"/>
        <v>0</v>
      </c>
      <c r="U36" s="126"/>
      <c r="V36" s="127"/>
      <c r="W36" s="126"/>
      <c r="X36" s="142"/>
      <c r="Y36" s="126"/>
      <c r="Z36" s="142">
        <f t="shared" si="5"/>
        <v>0</v>
      </c>
      <c r="AA36" s="126"/>
      <c r="AB36" s="142"/>
      <c r="AC36" s="142"/>
      <c r="AD36" s="150"/>
      <c r="AE36" s="142"/>
      <c r="AF36" s="150"/>
    </row>
    <row r="37" spans="1:32" s="63" customFormat="1" ht="54.95" customHeight="1" x14ac:dyDescent="0.85">
      <c r="A37" s="137" t="s">
        <v>210</v>
      </c>
      <c r="B37" s="139"/>
      <c r="C37" s="139"/>
      <c r="D37" s="139"/>
      <c r="E37" s="139"/>
      <c r="F37" s="139"/>
      <c r="G37" s="139"/>
      <c r="H37" s="139"/>
      <c r="I37" s="139">
        <f t="shared" si="0"/>
        <v>0</v>
      </c>
      <c r="J37" s="127"/>
      <c r="K37" s="127"/>
      <c r="L37" s="138" t="s">
        <v>210</v>
      </c>
      <c r="M37" s="139"/>
      <c r="N37" s="139"/>
      <c r="O37" s="139"/>
      <c r="P37" s="139"/>
      <c r="Q37" s="139"/>
      <c r="R37" s="139"/>
      <c r="S37" s="139"/>
      <c r="T37" s="139">
        <f t="shared" si="2"/>
        <v>0</v>
      </c>
      <c r="U37" s="126"/>
      <c r="V37" s="138" t="s">
        <v>210</v>
      </c>
      <c r="W37" s="126"/>
      <c r="X37" s="142"/>
      <c r="Y37" s="126"/>
      <c r="Z37" s="142">
        <f t="shared" si="5"/>
        <v>0</v>
      </c>
      <c r="AA37" s="126"/>
      <c r="AB37" s="142"/>
      <c r="AC37" s="142"/>
      <c r="AD37" s="150"/>
      <c r="AE37" s="142"/>
      <c r="AF37" s="150"/>
    </row>
    <row r="38" spans="1:32" s="63" customFormat="1" ht="54.95" customHeight="1" x14ac:dyDescent="0.85">
      <c r="A38" s="126"/>
      <c r="B38" s="139"/>
      <c r="C38" s="139"/>
      <c r="D38" s="139"/>
      <c r="E38" s="139"/>
      <c r="F38" s="139"/>
      <c r="G38" s="139"/>
      <c r="H38" s="139"/>
      <c r="I38" s="139">
        <f t="shared" si="0"/>
        <v>0</v>
      </c>
      <c r="J38" s="127"/>
      <c r="K38" s="127"/>
      <c r="L38" s="127"/>
      <c r="M38" s="139"/>
      <c r="N38" s="139"/>
      <c r="O38" s="139"/>
      <c r="P38" s="139"/>
      <c r="Q38" s="139"/>
      <c r="R38" s="139"/>
      <c r="S38" s="139"/>
      <c r="T38" s="139">
        <f t="shared" si="2"/>
        <v>0</v>
      </c>
      <c r="U38" s="126"/>
      <c r="V38" s="127"/>
      <c r="W38" s="126"/>
      <c r="X38" s="142"/>
      <c r="Y38" s="126"/>
      <c r="Z38" s="142">
        <f t="shared" si="5"/>
        <v>0</v>
      </c>
      <c r="AA38" s="126"/>
      <c r="AB38" s="142"/>
      <c r="AC38" s="142"/>
      <c r="AD38" s="150"/>
      <c r="AE38" s="142"/>
      <c r="AF38" s="150"/>
    </row>
    <row r="39" spans="1:32" s="63" customFormat="1" ht="54.95" customHeight="1" x14ac:dyDescent="0.85">
      <c r="A39" s="137" t="s">
        <v>226</v>
      </c>
      <c r="B39" s="139"/>
      <c r="C39" s="139"/>
      <c r="D39" s="139"/>
      <c r="E39" s="139"/>
      <c r="F39" s="139"/>
      <c r="G39" s="139"/>
      <c r="H39" s="139"/>
      <c r="I39" s="139">
        <f t="shared" si="0"/>
        <v>0</v>
      </c>
      <c r="J39" s="127"/>
      <c r="K39" s="127"/>
      <c r="L39" s="138" t="s">
        <v>226</v>
      </c>
      <c r="M39" s="139"/>
      <c r="N39" s="139"/>
      <c r="O39" s="139"/>
      <c r="P39" s="139"/>
      <c r="Q39" s="139"/>
      <c r="R39" s="139"/>
      <c r="S39" s="139"/>
      <c r="T39" s="139">
        <f t="shared" si="2"/>
        <v>0</v>
      </c>
      <c r="U39" s="126"/>
      <c r="V39" s="138" t="s">
        <v>226</v>
      </c>
      <c r="W39" s="126"/>
      <c r="X39" s="142"/>
      <c r="Y39" s="126"/>
      <c r="Z39" s="142">
        <f t="shared" si="5"/>
        <v>0</v>
      </c>
      <c r="AA39" s="126"/>
      <c r="AB39" s="142"/>
      <c r="AC39" s="142"/>
      <c r="AD39" s="150"/>
      <c r="AE39" s="142"/>
      <c r="AF39" s="150"/>
    </row>
    <row r="40" spans="1:32" s="63" customFormat="1" ht="54.95" customHeight="1" x14ac:dyDescent="0.85">
      <c r="A40" s="126" t="s">
        <v>227</v>
      </c>
      <c r="B40" s="139">
        <f>CNT!N188</f>
        <v>2166123.16</v>
      </c>
      <c r="C40" s="139">
        <v>0</v>
      </c>
      <c r="D40" s="139">
        <f>DEP!I29</f>
        <v>60387.05</v>
      </c>
      <c r="E40" s="139">
        <v>0</v>
      </c>
      <c r="F40" s="139">
        <f>'BSC (Dome)'!I24+'BSC (Dome)'!I31</f>
        <v>194041.93</v>
      </c>
      <c r="G40" s="139">
        <v>0</v>
      </c>
      <c r="H40" s="139">
        <v>0</v>
      </c>
      <c r="I40" s="139">
        <f t="shared" si="0"/>
        <v>2420552.14</v>
      </c>
      <c r="J40" s="140">
        <f>I40/$I$49</f>
        <v>0.79269161345688044</v>
      </c>
      <c r="K40" s="140"/>
      <c r="L40" s="127" t="s">
        <v>227</v>
      </c>
      <c r="M40" s="139">
        <v>2295591.9500000002</v>
      </c>
      <c r="N40" s="139">
        <v>0</v>
      </c>
      <c r="O40" s="139">
        <v>95448.54</v>
      </c>
      <c r="P40" s="139">
        <v>0</v>
      </c>
      <c r="Q40" s="139">
        <f>142669.13+42658</f>
        <v>185327.13</v>
      </c>
      <c r="R40" s="139">
        <v>0</v>
      </c>
      <c r="S40" s="139">
        <v>0</v>
      </c>
      <c r="T40" s="139">
        <f t="shared" si="2"/>
        <v>2576367.62</v>
      </c>
      <c r="U40" s="141">
        <f>T40/$T$49</f>
        <v>0.77075515362154889</v>
      </c>
      <c r="V40" s="127" t="s">
        <v>227</v>
      </c>
      <c r="W40" s="141"/>
      <c r="X40" s="142">
        <f t="shared" si="4"/>
        <v>2420552.14</v>
      </c>
      <c r="Y40" s="141"/>
      <c r="Z40" s="142">
        <f t="shared" si="5"/>
        <v>2576367.62</v>
      </c>
      <c r="AA40" s="141"/>
      <c r="AB40" s="142">
        <f>I40-T40</f>
        <v>-155815.47999999998</v>
      </c>
      <c r="AC40" s="142"/>
      <c r="AD40" s="141">
        <f>I40/T40</f>
        <v>0.93952125512274531</v>
      </c>
      <c r="AE40" s="142"/>
      <c r="AF40" s="141">
        <f t="shared" si="8"/>
        <v>-6.0478744877254687E-2</v>
      </c>
    </row>
    <row r="41" spans="1:32" s="63" customFormat="1" ht="54.95" customHeight="1" x14ac:dyDescent="0.85">
      <c r="A41" s="126" t="s">
        <v>228</v>
      </c>
      <c r="B41" s="139">
        <f>CNT!N190</f>
        <v>17841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f t="shared" si="0"/>
        <v>17841</v>
      </c>
      <c r="J41" s="140">
        <f t="shared" ref="J41:J48" si="19">I41/$I$49</f>
        <v>5.8426384798652611E-3</v>
      </c>
      <c r="K41" s="140"/>
      <c r="L41" s="127" t="s">
        <v>228</v>
      </c>
      <c r="M41" s="139">
        <v>21098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f t="shared" si="2"/>
        <v>21098</v>
      </c>
      <c r="U41" s="141">
        <f t="shared" ref="U41:U48" si="20">T41/$T$49</f>
        <v>6.3117515159220325E-3</v>
      </c>
      <c r="V41" s="127" t="s">
        <v>228</v>
      </c>
      <c r="W41" s="141"/>
      <c r="X41" s="142">
        <f t="shared" si="4"/>
        <v>17841</v>
      </c>
      <c r="Y41" s="141"/>
      <c r="Z41" s="142">
        <f t="shared" si="5"/>
        <v>21098</v>
      </c>
      <c r="AA41" s="141"/>
      <c r="AB41" s="142">
        <f t="shared" ref="AB41:AB48" si="21">I41-T41</f>
        <v>-3257</v>
      </c>
      <c r="AC41" s="142"/>
      <c r="AD41" s="141">
        <f t="shared" ref="AD41:AD48" si="22">I41/T41</f>
        <v>0.84562517774196611</v>
      </c>
      <c r="AE41" s="142"/>
      <c r="AF41" s="141">
        <f t="shared" si="8"/>
        <v>-0.15437482225803389</v>
      </c>
    </row>
    <row r="42" spans="1:32" s="63" customFormat="1" ht="54.95" customHeight="1" x14ac:dyDescent="0.85">
      <c r="A42" s="126" t="s">
        <v>229</v>
      </c>
      <c r="B42" s="139">
        <f>CNT!N191</f>
        <v>190591.46999999997</v>
      </c>
      <c r="C42" s="139">
        <v>0</v>
      </c>
      <c r="D42" s="139">
        <f>DEP!I30</f>
        <v>6724.4800000000014</v>
      </c>
      <c r="E42" s="139">
        <v>0</v>
      </c>
      <c r="F42" s="139">
        <f>'BSC (Dome)'!I25</f>
        <v>12841.160000000002</v>
      </c>
      <c r="G42" s="139">
        <v>0</v>
      </c>
      <c r="H42" s="139">
        <v>0</v>
      </c>
      <c r="I42" s="139">
        <f t="shared" si="0"/>
        <v>210157.11</v>
      </c>
      <c r="J42" s="140">
        <f t="shared" si="19"/>
        <v>6.8823049027704516E-2</v>
      </c>
      <c r="K42" s="140"/>
      <c r="L42" s="127" t="s">
        <v>229</v>
      </c>
      <c r="M42" s="139">
        <v>194257.67</v>
      </c>
      <c r="N42" s="139">
        <v>0</v>
      </c>
      <c r="O42" s="139">
        <v>7910.65</v>
      </c>
      <c r="P42" s="139">
        <v>0</v>
      </c>
      <c r="Q42" s="139">
        <v>12249.94</v>
      </c>
      <c r="R42" s="139">
        <v>0</v>
      </c>
      <c r="S42" s="139">
        <v>0</v>
      </c>
      <c r="T42" s="139">
        <f t="shared" si="2"/>
        <v>214418.26</v>
      </c>
      <c r="U42" s="141">
        <f t="shared" si="20"/>
        <v>6.4146117053576854E-2</v>
      </c>
      <c r="V42" s="127" t="s">
        <v>229</v>
      </c>
      <c r="W42" s="141"/>
      <c r="X42" s="142">
        <f t="shared" si="4"/>
        <v>210157.11</v>
      </c>
      <c r="Y42" s="141"/>
      <c r="Z42" s="142">
        <f t="shared" si="5"/>
        <v>214418.26</v>
      </c>
      <c r="AA42" s="141"/>
      <c r="AB42" s="142">
        <f t="shared" si="21"/>
        <v>-4261.1500000000233</v>
      </c>
      <c r="AC42" s="142"/>
      <c r="AD42" s="141">
        <f t="shared" si="22"/>
        <v>0.98012692575716254</v>
      </c>
      <c r="AE42" s="142"/>
      <c r="AF42" s="141">
        <f t="shared" si="8"/>
        <v>-1.9873074242837463E-2</v>
      </c>
    </row>
    <row r="43" spans="1:32" s="63" customFormat="1" ht="54.95" customHeight="1" x14ac:dyDescent="0.85">
      <c r="A43" s="126" t="s">
        <v>230</v>
      </c>
      <c r="B43" s="139">
        <f>CNT!N192</f>
        <v>192387.5</v>
      </c>
      <c r="C43" s="139">
        <v>0</v>
      </c>
      <c r="D43" s="139">
        <f>DEP!I31</f>
        <v>21968.63</v>
      </c>
      <c r="E43" s="139">
        <v>0</v>
      </c>
      <c r="F43" s="139">
        <f>'BSC (Dome)'!I26</f>
        <v>35601.269999999997</v>
      </c>
      <c r="G43" s="139">
        <v>0</v>
      </c>
      <c r="H43" s="139">
        <v>0</v>
      </c>
      <c r="I43" s="139">
        <f t="shared" si="0"/>
        <v>249957.4</v>
      </c>
      <c r="J43" s="140">
        <f t="shared" si="19"/>
        <v>8.1856999247075443E-2</v>
      </c>
      <c r="K43" s="140"/>
      <c r="L43" s="127" t="s">
        <v>230</v>
      </c>
      <c r="M43" s="139">
        <v>263093.40999999997</v>
      </c>
      <c r="N43" s="139">
        <v>0</v>
      </c>
      <c r="O43" s="139">
        <v>35290.199999999997</v>
      </c>
      <c r="P43" s="139">
        <v>0</v>
      </c>
      <c r="Q43" s="139">
        <v>31254.86</v>
      </c>
      <c r="R43" s="139">
        <v>0</v>
      </c>
      <c r="S43" s="139">
        <v>0</v>
      </c>
      <c r="T43" s="139">
        <f t="shared" si="2"/>
        <v>329638.46999999997</v>
      </c>
      <c r="U43" s="141">
        <f t="shared" si="20"/>
        <v>9.8615798309257707E-2</v>
      </c>
      <c r="V43" s="127" t="s">
        <v>230</v>
      </c>
      <c r="W43" s="141"/>
      <c r="X43" s="142">
        <f t="shared" si="4"/>
        <v>249957.4</v>
      </c>
      <c r="Y43" s="141"/>
      <c r="Z43" s="142">
        <f t="shared" si="5"/>
        <v>329638.46999999997</v>
      </c>
      <c r="AA43" s="141"/>
      <c r="AB43" s="142">
        <f t="shared" si="21"/>
        <v>-79681.069999999978</v>
      </c>
      <c r="AC43" s="142"/>
      <c r="AD43" s="141">
        <f t="shared" si="22"/>
        <v>0.75827739401896876</v>
      </c>
      <c r="AE43" s="142"/>
      <c r="AF43" s="141">
        <f t="shared" si="8"/>
        <v>-0.24172260598103124</v>
      </c>
    </row>
    <row r="44" spans="1:32" s="63" customFormat="1" ht="54.95" customHeight="1" x14ac:dyDescent="0.85">
      <c r="A44" s="126" t="s">
        <v>231</v>
      </c>
      <c r="B44" s="139">
        <f>CNT!N193</f>
        <v>27742.770000000004</v>
      </c>
      <c r="C44" s="139">
        <v>0</v>
      </c>
      <c r="D44" s="139">
        <f>DEP!I32</f>
        <v>1518.86</v>
      </c>
      <c r="E44" s="139">
        <v>0</v>
      </c>
      <c r="F44" s="139">
        <f>'BSC (Dome)'!I27</f>
        <v>2102.1</v>
      </c>
      <c r="G44" s="139">
        <v>0</v>
      </c>
      <c r="H44" s="139">
        <v>0</v>
      </c>
      <c r="I44" s="139">
        <f t="shared" si="0"/>
        <v>31363.730000000003</v>
      </c>
      <c r="J44" s="140">
        <f t="shared" si="19"/>
        <v>1.0271113489720559E-2</v>
      </c>
      <c r="K44" s="140"/>
      <c r="L44" s="127" t="s">
        <v>231</v>
      </c>
      <c r="M44" s="139">
        <v>41053.160000000003</v>
      </c>
      <c r="N44" s="139">
        <v>0</v>
      </c>
      <c r="O44" s="139">
        <v>3683.68</v>
      </c>
      <c r="P44" s="139">
        <v>0</v>
      </c>
      <c r="Q44" s="139">
        <v>0</v>
      </c>
      <c r="R44" s="139">
        <v>0</v>
      </c>
      <c r="S44" s="139">
        <v>0</v>
      </c>
      <c r="T44" s="139">
        <f t="shared" si="2"/>
        <v>44736.840000000004</v>
      </c>
      <c r="U44" s="141">
        <f t="shared" si="20"/>
        <v>1.3383629618331665E-2</v>
      </c>
      <c r="V44" s="127" t="s">
        <v>231</v>
      </c>
      <c r="W44" s="141"/>
      <c r="X44" s="142">
        <f t="shared" si="4"/>
        <v>31363.730000000003</v>
      </c>
      <c r="Y44" s="141"/>
      <c r="Z44" s="142">
        <f t="shared" si="5"/>
        <v>44736.840000000004</v>
      </c>
      <c r="AA44" s="141"/>
      <c r="AB44" s="142">
        <f t="shared" si="21"/>
        <v>-13373.11</v>
      </c>
      <c r="AC44" s="142"/>
      <c r="AD44" s="141">
        <f t="shared" si="22"/>
        <v>0.70107164475631267</v>
      </c>
      <c r="AE44" s="142"/>
      <c r="AF44" s="141">
        <f t="shared" si="8"/>
        <v>-0.29892835524368733</v>
      </c>
    </row>
    <row r="45" spans="1:32" s="63" customFormat="1" ht="54.95" customHeight="1" x14ac:dyDescent="0.85">
      <c r="A45" s="126" t="s">
        <v>232</v>
      </c>
      <c r="B45" s="139">
        <f>CNT!N194</f>
        <v>63035</v>
      </c>
      <c r="C45" s="139">
        <v>0</v>
      </c>
      <c r="D45" s="139">
        <f>DEP!I33</f>
        <v>2400</v>
      </c>
      <c r="E45" s="139">
        <v>0</v>
      </c>
      <c r="F45" s="139">
        <f>'BSC (Dome)'!I29</f>
        <v>3250</v>
      </c>
      <c r="G45" s="139">
        <v>0</v>
      </c>
      <c r="H45" s="139">
        <v>0</v>
      </c>
      <c r="I45" s="139">
        <f t="shared" si="0"/>
        <v>68685</v>
      </c>
      <c r="J45" s="140">
        <f t="shared" si="19"/>
        <v>2.2493224818650605E-2</v>
      </c>
      <c r="K45" s="140"/>
      <c r="L45" s="127" t="s">
        <v>232</v>
      </c>
      <c r="M45" s="139">
        <v>80276</v>
      </c>
      <c r="N45" s="139">
        <v>0</v>
      </c>
      <c r="O45" s="139">
        <v>3185</v>
      </c>
      <c r="P45" s="139">
        <v>0</v>
      </c>
      <c r="Q45" s="139">
        <v>16261</v>
      </c>
      <c r="R45" s="139">
        <v>0</v>
      </c>
      <c r="S45" s="139">
        <v>0</v>
      </c>
      <c r="T45" s="139">
        <f t="shared" si="2"/>
        <v>99722</v>
      </c>
      <c r="U45" s="141">
        <f t="shared" si="20"/>
        <v>2.9833182513545213E-2</v>
      </c>
      <c r="V45" s="127" t="s">
        <v>232</v>
      </c>
      <c r="W45" s="141"/>
      <c r="X45" s="142">
        <f t="shared" si="4"/>
        <v>68685</v>
      </c>
      <c r="Y45" s="141"/>
      <c r="Z45" s="142">
        <f t="shared" si="5"/>
        <v>99722</v>
      </c>
      <c r="AA45" s="141"/>
      <c r="AB45" s="142">
        <f t="shared" si="21"/>
        <v>-31037</v>
      </c>
      <c r="AC45" s="142"/>
      <c r="AD45" s="141">
        <f t="shared" si="22"/>
        <v>0.68876476604961789</v>
      </c>
      <c r="AE45" s="142"/>
      <c r="AF45" s="141">
        <f t="shared" si="8"/>
        <v>-0.31123523395038211</v>
      </c>
    </row>
    <row r="46" spans="1:32" s="63" customFormat="1" ht="54.95" customHeight="1" x14ac:dyDescent="0.85">
      <c r="A46" s="126" t="s">
        <v>309</v>
      </c>
      <c r="B46" s="139">
        <f>CNT!N196+CNT!N195</f>
        <v>10952.73</v>
      </c>
      <c r="C46" s="139">
        <v>0</v>
      </c>
      <c r="D46" s="139">
        <f>DEP!I34</f>
        <v>927.56999999999994</v>
      </c>
      <c r="E46" s="139">
        <v>0</v>
      </c>
      <c r="F46" s="139">
        <f>'BSC (Dome)'!I28+'BSC (Dome)'!I30</f>
        <v>2439.02</v>
      </c>
      <c r="G46" s="139">
        <v>0</v>
      </c>
      <c r="H46" s="139">
        <v>0</v>
      </c>
      <c r="I46" s="139">
        <f t="shared" si="0"/>
        <v>14319.32</v>
      </c>
      <c r="J46" s="140">
        <f t="shared" si="19"/>
        <v>4.6893453302788088E-3</v>
      </c>
      <c r="K46" s="140"/>
      <c r="L46" s="127" t="s">
        <v>309</v>
      </c>
      <c r="M46" s="139">
        <v>3980.09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f t="shared" si="2"/>
        <v>3980.09</v>
      </c>
      <c r="U46" s="141">
        <f t="shared" si="20"/>
        <v>1.1906976533797575E-3</v>
      </c>
      <c r="V46" s="127" t="s">
        <v>309</v>
      </c>
      <c r="W46" s="141"/>
      <c r="X46" s="142">
        <f t="shared" si="4"/>
        <v>14319.32</v>
      </c>
      <c r="Y46" s="141"/>
      <c r="Z46" s="142">
        <f t="shared" si="5"/>
        <v>3980.09</v>
      </c>
      <c r="AA46" s="141"/>
      <c r="AB46" s="142">
        <f t="shared" si="21"/>
        <v>10339.23</v>
      </c>
      <c r="AC46" s="142"/>
      <c r="AD46" s="141">
        <f t="shared" si="22"/>
        <v>3.5977377395988532</v>
      </c>
      <c r="AE46" s="142"/>
      <c r="AF46" s="141">
        <f t="shared" si="8"/>
        <v>2.5977377395988532</v>
      </c>
    </row>
    <row r="47" spans="1:32" s="63" customFormat="1" ht="54.95" customHeight="1" x14ac:dyDescent="0.85">
      <c r="A47" s="126" t="s">
        <v>233</v>
      </c>
      <c r="B47" s="139">
        <f>CNT!N197+CNT!N198</f>
        <v>5061.74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f t="shared" si="0"/>
        <v>5061.74</v>
      </c>
      <c r="J47" s="140">
        <f t="shared" si="19"/>
        <v>1.6576378509653711E-3</v>
      </c>
      <c r="K47" s="140"/>
      <c r="L47" s="127" t="s">
        <v>233</v>
      </c>
      <c r="M47" s="139">
        <v>16958.599999999999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f t="shared" si="2"/>
        <v>16958.599999999999</v>
      </c>
      <c r="U47" s="141">
        <f t="shared" si="20"/>
        <v>5.0733941254107202E-3</v>
      </c>
      <c r="V47" s="127" t="s">
        <v>233</v>
      </c>
      <c r="W47" s="141"/>
      <c r="X47" s="142">
        <f t="shared" si="4"/>
        <v>5061.74</v>
      </c>
      <c r="Y47" s="141"/>
      <c r="Z47" s="142">
        <f t="shared" si="5"/>
        <v>16958.599999999999</v>
      </c>
      <c r="AA47" s="141"/>
      <c r="AB47" s="142">
        <f t="shared" si="21"/>
        <v>-11896.859999999999</v>
      </c>
      <c r="AC47" s="142"/>
      <c r="AD47" s="141">
        <f t="shared" si="22"/>
        <v>0.29847628931633507</v>
      </c>
      <c r="AE47" s="142"/>
      <c r="AF47" s="141">
        <f t="shared" si="8"/>
        <v>-0.70152371068366493</v>
      </c>
    </row>
    <row r="48" spans="1:32" s="63" customFormat="1" ht="54.95" customHeight="1" x14ac:dyDescent="0.85">
      <c r="A48" s="126" t="s">
        <v>248</v>
      </c>
      <c r="B48" s="139">
        <f>CNT!N221</f>
        <v>35648.720000000001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f t="shared" si="0"/>
        <v>35648.720000000001</v>
      </c>
      <c r="J48" s="140">
        <f t="shared" si="19"/>
        <v>1.1674378298858938E-2</v>
      </c>
      <c r="K48" s="140"/>
      <c r="L48" s="127" t="s">
        <v>248</v>
      </c>
      <c r="M48" s="139">
        <v>35733.89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f t="shared" si="2"/>
        <v>35733.89</v>
      </c>
      <c r="U48" s="141">
        <f t="shared" si="20"/>
        <v>1.0690275589026977E-2</v>
      </c>
      <c r="V48" s="127" t="s">
        <v>248</v>
      </c>
      <c r="W48" s="141"/>
      <c r="X48" s="142">
        <f t="shared" si="4"/>
        <v>35648.720000000001</v>
      </c>
      <c r="Y48" s="141"/>
      <c r="Z48" s="142">
        <f t="shared" si="5"/>
        <v>35733.89</v>
      </c>
      <c r="AA48" s="141"/>
      <c r="AB48" s="142">
        <f t="shared" si="21"/>
        <v>-85.169999999998254</v>
      </c>
      <c r="AC48" s="142"/>
      <c r="AD48" s="141">
        <f t="shared" si="22"/>
        <v>0.99761654832429392</v>
      </c>
      <c r="AE48" s="142"/>
      <c r="AF48" s="141">
        <f t="shared" si="8"/>
        <v>-2.3834516757060831E-3</v>
      </c>
    </row>
    <row r="49" spans="1:32" s="63" customFormat="1" ht="54.95" customHeight="1" x14ac:dyDescent="0.85">
      <c r="A49" s="137" t="s">
        <v>234</v>
      </c>
      <c r="B49" s="144">
        <f t="shared" ref="B49:H49" si="23">SUM(B40:B48)</f>
        <v>2709384.0900000003</v>
      </c>
      <c r="C49" s="144">
        <f t="shared" si="23"/>
        <v>0</v>
      </c>
      <c r="D49" s="144">
        <f t="shared" si="23"/>
        <v>93926.590000000011</v>
      </c>
      <c r="E49" s="144">
        <f t="shared" si="23"/>
        <v>0</v>
      </c>
      <c r="F49" s="144">
        <f>SUM(F40:F48)</f>
        <v>250275.47999999998</v>
      </c>
      <c r="G49" s="144">
        <f t="shared" si="23"/>
        <v>0</v>
      </c>
      <c r="H49" s="144">
        <f t="shared" si="23"/>
        <v>0</v>
      </c>
      <c r="I49" s="144">
        <f t="shared" si="0"/>
        <v>3053586.16</v>
      </c>
      <c r="J49" s="145">
        <f>SUM(J40:J48)</f>
        <v>0.99999999999999989</v>
      </c>
      <c r="K49" s="146"/>
      <c r="L49" s="138" t="s">
        <v>234</v>
      </c>
      <c r="M49" s="144">
        <f t="shared" ref="M49:S49" si="24">SUM(M40:M48)</f>
        <v>2952042.7700000005</v>
      </c>
      <c r="N49" s="144">
        <f t="shared" si="24"/>
        <v>0</v>
      </c>
      <c r="O49" s="144">
        <f t="shared" si="24"/>
        <v>145518.06999999998</v>
      </c>
      <c r="P49" s="144">
        <f t="shared" si="24"/>
        <v>0</v>
      </c>
      <c r="Q49" s="144">
        <f t="shared" si="24"/>
        <v>245092.93</v>
      </c>
      <c r="R49" s="144">
        <f>SUM(R40:R48)</f>
        <v>0</v>
      </c>
      <c r="S49" s="144">
        <f t="shared" si="24"/>
        <v>0</v>
      </c>
      <c r="T49" s="144">
        <f t="shared" si="2"/>
        <v>3342653.7700000005</v>
      </c>
      <c r="U49" s="147">
        <f>SUM(U40:U48)</f>
        <v>0.99999999999999978</v>
      </c>
      <c r="V49" s="138" t="s">
        <v>234</v>
      </c>
      <c r="W49" s="148"/>
      <c r="X49" s="149">
        <f t="shared" si="4"/>
        <v>3053586.16</v>
      </c>
      <c r="Y49" s="148"/>
      <c r="Z49" s="149">
        <f t="shared" si="5"/>
        <v>3342653.7700000005</v>
      </c>
      <c r="AA49" s="148"/>
      <c r="AB49" s="149">
        <f>I49-T49</f>
        <v>-289067.61000000034</v>
      </c>
      <c r="AC49" s="149"/>
      <c r="AD49" s="147">
        <f>I49/T49</f>
        <v>0.91352152215274141</v>
      </c>
      <c r="AE49" s="149"/>
      <c r="AF49" s="147">
        <f t="shared" si="8"/>
        <v>-8.6478477847258595E-2</v>
      </c>
    </row>
    <row r="50" spans="1:32" s="63" customFormat="1" ht="54.95" customHeight="1" x14ac:dyDescent="0.85">
      <c r="A50" s="126"/>
      <c r="B50" s="139"/>
      <c r="C50" s="139"/>
      <c r="D50" s="139"/>
      <c r="E50" s="139"/>
      <c r="F50" s="139"/>
      <c r="G50" s="139"/>
      <c r="H50" s="139"/>
      <c r="I50" s="139"/>
      <c r="J50" s="127"/>
      <c r="K50" s="127"/>
      <c r="L50" s="127"/>
      <c r="M50" s="139"/>
      <c r="N50" s="139"/>
      <c r="O50" s="139"/>
      <c r="P50" s="139"/>
      <c r="Q50" s="139"/>
      <c r="R50" s="139"/>
      <c r="S50" s="139"/>
      <c r="T50" s="139"/>
      <c r="U50" s="126"/>
      <c r="V50" s="127"/>
      <c r="W50" s="126"/>
      <c r="X50" s="142"/>
      <c r="Y50" s="126"/>
      <c r="Z50" s="142">
        <f t="shared" si="5"/>
        <v>0</v>
      </c>
      <c r="AA50" s="126"/>
      <c r="AB50" s="142"/>
      <c r="AC50" s="142"/>
      <c r="AD50" s="150"/>
      <c r="AE50" s="142"/>
      <c r="AF50" s="150"/>
    </row>
    <row r="51" spans="1:32" s="63" customFormat="1" ht="54.95" customHeight="1" x14ac:dyDescent="0.85">
      <c r="A51" s="137" t="s">
        <v>235</v>
      </c>
      <c r="B51" s="139"/>
      <c r="C51" s="139"/>
      <c r="D51" s="139"/>
      <c r="E51" s="139"/>
      <c r="F51" s="139"/>
      <c r="G51" s="139"/>
      <c r="H51" s="139"/>
      <c r="I51" s="139"/>
      <c r="J51" s="127"/>
      <c r="K51" s="127"/>
      <c r="L51" s="138" t="s">
        <v>235</v>
      </c>
      <c r="M51" s="139"/>
      <c r="N51" s="139"/>
      <c r="O51" s="139"/>
      <c r="P51" s="139"/>
      <c r="Q51" s="139"/>
      <c r="R51" s="139"/>
      <c r="S51" s="139"/>
      <c r="T51" s="139"/>
      <c r="U51" s="126"/>
      <c r="V51" s="138" t="s">
        <v>235</v>
      </c>
      <c r="W51" s="126"/>
      <c r="X51" s="142"/>
      <c r="Y51" s="126"/>
      <c r="Z51" s="142">
        <f t="shared" si="5"/>
        <v>0</v>
      </c>
      <c r="AA51" s="126"/>
      <c r="AB51" s="142"/>
      <c r="AC51" s="142"/>
      <c r="AD51" s="150"/>
      <c r="AE51" s="142"/>
      <c r="AF51" s="150"/>
    </row>
    <row r="52" spans="1:32" s="63" customFormat="1" ht="54.95" customHeight="1" x14ac:dyDescent="0.85">
      <c r="A52" s="126" t="s">
        <v>236</v>
      </c>
      <c r="B52" s="139">
        <f>CNT!N201+CNT!N202</f>
        <v>239400</v>
      </c>
      <c r="C52" s="139">
        <v>0</v>
      </c>
      <c r="D52" s="139">
        <f>DEP!I38</f>
        <v>262500</v>
      </c>
      <c r="E52" s="139">
        <v>0</v>
      </c>
      <c r="F52" s="139">
        <f>'BSC (Dome)'!I35</f>
        <v>7000</v>
      </c>
      <c r="G52" s="139">
        <v>0</v>
      </c>
      <c r="H52" s="139">
        <v>0</v>
      </c>
      <c r="I52" s="139">
        <f t="shared" ref="I52:I74" si="25">SUM(B52:H52)</f>
        <v>508900</v>
      </c>
      <c r="J52" s="140">
        <f t="shared" ref="J52:J73" si="26">I52/$I$74</f>
        <v>0.20050616360635512</v>
      </c>
      <c r="K52" s="140"/>
      <c r="L52" s="127" t="s">
        <v>236</v>
      </c>
      <c r="M52" s="139">
        <v>221900</v>
      </c>
      <c r="N52" s="139">
        <v>0</v>
      </c>
      <c r="O52" s="139">
        <v>175000</v>
      </c>
      <c r="P52" s="139">
        <v>0</v>
      </c>
      <c r="Q52" s="139">
        <v>7000</v>
      </c>
      <c r="R52" s="139">
        <v>0</v>
      </c>
      <c r="S52" s="139">
        <v>0</v>
      </c>
      <c r="T52" s="139">
        <f t="shared" si="2"/>
        <v>403900</v>
      </c>
      <c r="U52" s="141">
        <f t="shared" ref="U52:U69" si="27">T52/$T$74</f>
        <v>0.24603946214689271</v>
      </c>
      <c r="V52" s="127" t="s">
        <v>236</v>
      </c>
      <c r="W52" s="141"/>
      <c r="X52" s="142">
        <f t="shared" si="4"/>
        <v>508900</v>
      </c>
      <c r="Y52" s="141"/>
      <c r="Z52" s="142">
        <f t="shared" si="5"/>
        <v>403900</v>
      </c>
      <c r="AA52" s="141"/>
      <c r="AB52" s="142">
        <f>I52-T52</f>
        <v>105000</v>
      </c>
      <c r="AC52" s="142"/>
      <c r="AD52" s="141">
        <f>I52/T52</f>
        <v>1.2599653379549394</v>
      </c>
      <c r="AE52" s="142"/>
      <c r="AF52" s="141">
        <f t="shared" si="8"/>
        <v>0.25996533795493937</v>
      </c>
    </row>
    <row r="53" spans="1:32" s="63" customFormat="1" ht="54.95" customHeight="1" x14ac:dyDescent="0.85">
      <c r="A53" s="126" t="s">
        <v>237</v>
      </c>
      <c r="B53" s="139">
        <f>CNT!N203</f>
        <v>4678.3200000000015</v>
      </c>
      <c r="C53" s="139">
        <v>0</v>
      </c>
      <c r="D53" s="139">
        <f>DEP!I39</f>
        <v>47081.99</v>
      </c>
      <c r="E53" s="139">
        <v>0</v>
      </c>
      <c r="F53" s="139">
        <f>'BSC (Dome)'!I37</f>
        <v>4529</v>
      </c>
      <c r="G53" s="139">
        <v>0</v>
      </c>
      <c r="H53" s="139">
        <v>0</v>
      </c>
      <c r="I53" s="139">
        <f t="shared" si="25"/>
        <v>56289.31</v>
      </c>
      <c r="J53" s="140">
        <f t="shared" si="26"/>
        <v>2.2177939870600984E-2</v>
      </c>
      <c r="K53" s="140"/>
      <c r="L53" s="127" t="s">
        <v>237</v>
      </c>
      <c r="M53" s="139">
        <v>49251.06</v>
      </c>
      <c r="N53" s="139">
        <v>0</v>
      </c>
      <c r="O53" s="139">
        <v>37396.300000000003</v>
      </c>
      <c r="P53" s="139">
        <v>0</v>
      </c>
      <c r="Q53" s="139">
        <v>21828.26</v>
      </c>
      <c r="R53" s="139">
        <v>0</v>
      </c>
      <c r="S53" s="139">
        <v>0</v>
      </c>
      <c r="T53" s="139">
        <f t="shared" si="2"/>
        <v>108475.62</v>
      </c>
      <c r="U53" s="141">
        <f t="shared" si="27"/>
        <v>6.607893835318325E-2</v>
      </c>
      <c r="V53" s="127" t="s">
        <v>237</v>
      </c>
      <c r="W53" s="141"/>
      <c r="X53" s="142">
        <f t="shared" si="4"/>
        <v>56289.31</v>
      </c>
      <c r="Y53" s="141"/>
      <c r="Z53" s="142">
        <f t="shared" si="5"/>
        <v>108475.62</v>
      </c>
      <c r="AA53" s="141"/>
      <c r="AB53" s="142">
        <f t="shared" ref="AB53:AB73" si="28">I53-T53</f>
        <v>-52186.31</v>
      </c>
      <c r="AC53" s="142"/>
      <c r="AD53" s="141">
        <f t="shared" ref="AD53:AD71" si="29">I53/T53</f>
        <v>0.51891208365529506</v>
      </c>
      <c r="AE53" s="142"/>
      <c r="AF53" s="141">
        <f t="shared" si="8"/>
        <v>-0.48108791634470494</v>
      </c>
    </row>
    <row r="54" spans="1:32" s="63" customFormat="1" ht="54.95" customHeight="1" x14ac:dyDescent="0.85">
      <c r="A54" s="126" t="s">
        <v>238</v>
      </c>
      <c r="B54" s="139">
        <f>CNT!N204</f>
        <v>8713.74</v>
      </c>
      <c r="C54" s="139">
        <v>0</v>
      </c>
      <c r="D54" s="139">
        <v>0</v>
      </c>
      <c r="E54" s="139">
        <v>0</v>
      </c>
      <c r="F54" s="139">
        <f>'BSC (Dome)'!I36</f>
        <v>59030.46</v>
      </c>
      <c r="G54" s="139">
        <v>0</v>
      </c>
      <c r="H54" s="139">
        <v>0</v>
      </c>
      <c r="I54" s="139">
        <f t="shared" si="25"/>
        <v>67744.2</v>
      </c>
      <c r="J54" s="140">
        <f t="shared" si="26"/>
        <v>2.6691156707765066E-2</v>
      </c>
      <c r="K54" s="140"/>
      <c r="L54" s="127" t="s">
        <v>238</v>
      </c>
      <c r="M54" s="139">
        <v>6797.98</v>
      </c>
      <c r="N54" s="139">
        <v>0</v>
      </c>
      <c r="O54" s="139">
        <v>0</v>
      </c>
      <c r="P54" s="139">
        <v>0</v>
      </c>
      <c r="Q54" s="139">
        <v>68320.66</v>
      </c>
      <c r="R54" s="139">
        <v>0</v>
      </c>
      <c r="S54" s="139">
        <v>0</v>
      </c>
      <c r="T54" s="139">
        <f t="shared" si="2"/>
        <v>75118.64</v>
      </c>
      <c r="U54" s="141">
        <f t="shared" si="27"/>
        <v>4.5759222042104628E-2</v>
      </c>
      <c r="V54" s="127" t="s">
        <v>238</v>
      </c>
      <c r="W54" s="141"/>
      <c r="X54" s="142">
        <f t="shared" si="4"/>
        <v>67744.2</v>
      </c>
      <c r="Y54" s="141"/>
      <c r="Z54" s="142">
        <f t="shared" si="5"/>
        <v>75118.64</v>
      </c>
      <c r="AA54" s="141"/>
      <c r="AB54" s="142">
        <f t="shared" si="28"/>
        <v>-7374.4400000000023</v>
      </c>
      <c r="AC54" s="142"/>
      <c r="AD54" s="141">
        <f t="shared" si="29"/>
        <v>0.90182942609184613</v>
      </c>
      <c r="AE54" s="142"/>
      <c r="AF54" s="141">
        <f t="shared" si="8"/>
        <v>-9.8170573908153869E-2</v>
      </c>
    </row>
    <row r="55" spans="1:32" s="63" customFormat="1" ht="54.95" customHeight="1" x14ac:dyDescent="0.85">
      <c r="A55" s="126" t="s">
        <v>339</v>
      </c>
      <c r="B55" s="139">
        <f>CNT!N205</f>
        <v>579.03</v>
      </c>
      <c r="C55" s="139">
        <v>0</v>
      </c>
      <c r="D55" s="139">
        <v>0</v>
      </c>
      <c r="E55" s="139">
        <v>0</v>
      </c>
      <c r="F55" s="139">
        <f>'BSC (Dome)'!I38</f>
        <v>1532.02</v>
      </c>
      <c r="G55" s="139">
        <v>0</v>
      </c>
      <c r="H55" s="139">
        <v>0</v>
      </c>
      <c r="I55" s="139">
        <f t="shared" si="25"/>
        <v>2111.0500000000002</v>
      </c>
      <c r="J55" s="140">
        <f t="shared" si="26"/>
        <v>8.317518897252821E-4</v>
      </c>
      <c r="K55" s="140"/>
      <c r="L55" s="127" t="s">
        <v>339</v>
      </c>
      <c r="M55" s="139">
        <v>1186.8699999999999</v>
      </c>
      <c r="N55" s="139">
        <v>0</v>
      </c>
      <c r="O55" s="139">
        <v>0</v>
      </c>
      <c r="P55" s="139">
        <v>0</v>
      </c>
      <c r="Q55" s="139">
        <v>1166.22</v>
      </c>
      <c r="R55" s="139">
        <v>0</v>
      </c>
      <c r="S55" s="139">
        <v>0</v>
      </c>
      <c r="T55" s="139">
        <f t="shared" si="2"/>
        <v>2353.09</v>
      </c>
      <c r="U55" s="141">
        <f t="shared" si="27"/>
        <v>1.4334067788641539E-3</v>
      </c>
      <c r="V55" s="127" t="s">
        <v>339</v>
      </c>
      <c r="W55" s="141"/>
      <c r="X55" s="142">
        <f t="shared" si="4"/>
        <v>2111.0500000000002</v>
      </c>
      <c r="Y55" s="141"/>
      <c r="Z55" s="142">
        <f t="shared" si="5"/>
        <v>2353.09</v>
      </c>
      <c r="AA55" s="141"/>
      <c r="AB55" s="142">
        <f t="shared" si="28"/>
        <v>-242.03999999999996</v>
      </c>
      <c r="AC55" s="142"/>
      <c r="AD55" s="141">
        <f t="shared" si="29"/>
        <v>0.89713950592625014</v>
      </c>
      <c r="AE55" s="142"/>
      <c r="AF55" s="141">
        <f t="shared" si="8"/>
        <v>-0.10286049407374986</v>
      </c>
    </row>
    <row r="56" spans="1:32" s="63" customFormat="1" ht="54.95" customHeight="1" x14ac:dyDescent="0.85">
      <c r="A56" s="126" t="s">
        <v>292</v>
      </c>
      <c r="B56" s="139">
        <v>0</v>
      </c>
      <c r="C56" s="139">
        <v>0</v>
      </c>
      <c r="D56" s="139">
        <f>DEP!I40</f>
        <v>1050</v>
      </c>
      <c r="E56" s="139">
        <v>0</v>
      </c>
      <c r="F56" s="139">
        <f>'BSC (Dome)'!I39</f>
        <v>4253.3200000000006</v>
      </c>
      <c r="G56" s="139">
        <v>0</v>
      </c>
      <c r="H56" s="139">
        <v>0</v>
      </c>
      <c r="I56" s="139">
        <f t="shared" si="25"/>
        <v>5303.3200000000006</v>
      </c>
      <c r="J56" s="140">
        <f t="shared" si="26"/>
        <v>2.0895035322791421E-3</v>
      </c>
      <c r="K56" s="140"/>
      <c r="L56" s="127" t="s">
        <v>292</v>
      </c>
      <c r="M56" s="139">
        <v>0</v>
      </c>
      <c r="N56" s="139">
        <v>0</v>
      </c>
      <c r="O56" s="139">
        <v>843.5</v>
      </c>
      <c r="P56" s="139">
        <v>0</v>
      </c>
      <c r="Q56" s="139">
        <v>3433.06</v>
      </c>
      <c r="R56" s="139">
        <v>0</v>
      </c>
      <c r="S56" s="139">
        <v>0</v>
      </c>
      <c r="T56" s="139">
        <f t="shared" si="2"/>
        <v>4276.5599999999995</v>
      </c>
      <c r="U56" s="141">
        <f t="shared" si="27"/>
        <v>2.6051065170559925E-3</v>
      </c>
      <c r="V56" s="127" t="s">
        <v>292</v>
      </c>
      <c r="W56" s="141"/>
      <c r="X56" s="142">
        <f t="shared" si="4"/>
        <v>5303.3200000000006</v>
      </c>
      <c r="Y56" s="141"/>
      <c r="Z56" s="142">
        <f t="shared" si="5"/>
        <v>4276.5599999999995</v>
      </c>
      <c r="AA56" s="141"/>
      <c r="AB56" s="142">
        <f t="shared" si="28"/>
        <v>1026.7600000000011</v>
      </c>
      <c r="AC56" s="142"/>
      <c r="AD56" s="141">
        <f t="shared" si="29"/>
        <v>1.2400901659277552</v>
      </c>
      <c r="AE56" s="142"/>
      <c r="AF56" s="141">
        <f t="shared" si="8"/>
        <v>0.24009016592775523</v>
      </c>
    </row>
    <row r="57" spans="1:32" s="63" customFormat="1" ht="54.95" customHeight="1" x14ac:dyDescent="0.85">
      <c r="A57" s="127" t="s">
        <v>458</v>
      </c>
      <c r="B57" s="139">
        <f>CNT!N206</f>
        <v>19715</v>
      </c>
      <c r="C57" s="139">
        <v>0</v>
      </c>
      <c r="D57" s="139">
        <f>DEP!I41</f>
        <v>16314.35</v>
      </c>
      <c r="E57" s="139">
        <v>0</v>
      </c>
      <c r="F57" s="139">
        <v>0</v>
      </c>
      <c r="G57" s="139">
        <v>0</v>
      </c>
      <c r="H57" s="139">
        <v>0</v>
      </c>
      <c r="I57" s="139">
        <f t="shared" si="25"/>
        <v>36029.35</v>
      </c>
      <c r="J57" s="140">
        <f t="shared" si="26"/>
        <v>1.4195533003990235E-2</v>
      </c>
      <c r="K57" s="140"/>
      <c r="L57" s="127" t="s">
        <v>458</v>
      </c>
      <c r="M57" s="139">
        <v>9589</v>
      </c>
      <c r="N57" s="139">
        <v>0</v>
      </c>
      <c r="O57" s="139">
        <v>5293</v>
      </c>
      <c r="P57" s="139">
        <v>0</v>
      </c>
      <c r="Q57" s="139">
        <v>0</v>
      </c>
      <c r="R57" s="139">
        <v>0</v>
      </c>
      <c r="S57" s="139">
        <v>0</v>
      </c>
      <c r="T57" s="139">
        <f t="shared" si="2"/>
        <v>14882</v>
      </c>
      <c r="U57" s="141">
        <f t="shared" si="27"/>
        <v>9.0655094718248511E-3</v>
      </c>
      <c r="V57" s="127" t="s">
        <v>458</v>
      </c>
      <c r="W57" s="141"/>
      <c r="X57" s="142">
        <f t="shared" si="4"/>
        <v>36029.35</v>
      </c>
      <c r="Y57" s="141"/>
      <c r="Z57" s="142">
        <f t="shared" si="5"/>
        <v>14882</v>
      </c>
      <c r="AA57" s="141"/>
      <c r="AB57" s="142">
        <f t="shared" si="28"/>
        <v>21147.35</v>
      </c>
      <c r="AC57" s="142"/>
      <c r="AD57" s="141">
        <f t="shared" si="29"/>
        <v>2.4210018814675447</v>
      </c>
      <c r="AE57" s="142"/>
      <c r="AF57" s="141">
        <f t="shared" si="8"/>
        <v>1.4210018814675447</v>
      </c>
    </row>
    <row r="58" spans="1:32" s="63" customFormat="1" ht="54.95" customHeight="1" x14ac:dyDescent="0.85">
      <c r="A58" s="126" t="s">
        <v>377</v>
      </c>
      <c r="B58" s="139">
        <f>CNT!N207+CNT!N215</f>
        <v>85445.01999999999</v>
      </c>
      <c r="C58" s="139">
        <f>BPM!I40</f>
        <v>2719.73</v>
      </c>
      <c r="D58" s="139">
        <f>DEP!I42</f>
        <v>18809.309999999998</v>
      </c>
      <c r="E58" s="139">
        <v>0</v>
      </c>
      <c r="F58" s="139">
        <f>'BSC (Dome)'!I41</f>
        <v>2914.58</v>
      </c>
      <c r="G58" s="139">
        <v>0</v>
      </c>
      <c r="H58" s="139">
        <v>0</v>
      </c>
      <c r="I58" s="139">
        <f t="shared" si="25"/>
        <v>109888.63999999998</v>
      </c>
      <c r="J58" s="140">
        <f t="shared" si="26"/>
        <v>4.329602992792269E-2</v>
      </c>
      <c r="K58" s="140"/>
      <c r="L58" s="127" t="s">
        <v>239</v>
      </c>
      <c r="M58" s="139">
        <v>95307.31</v>
      </c>
      <c r="N58" s="139">
        <v>0</v>
      </c>
      <c r="O58" s="139">
        <v>23073.1</v>
      </c>
      <c r="P58" s="139">
        <v>0</v>
      </c>
      <c r="Q58" s="139">
        <f>712.05+862.3</f>
        <v>1574.35</v>
      </c>
      <c r="R58" s="139">
        <v>0</v>
      </c>
      <c r="S58" s="139">
        <v>0</v>
      </c>
      <c r="T58" s="139">
        <f t="shared" si="2"/>
        <v>119954.76000000001</v>
      </c>
      <c r="U58" s="141">
        <f t="shared" si="27"/>
        <v>7.307156383352216E-2</v>
      </c>
      <c r="V58" s="127" t="s">
        <v>239</v>
      </c>
      <c r="W58" s="141"/>
      <c r="X58" s="142">
        <f t="shared" si="4"/>
        <v>109888.63999999998</v>
      </c>
      <c r="Y58" s="141"/>
      <c r="Z58" s="142">
        <f t="shared" si="5"/>
        <v>119954.76000000001</v>
      </c>
      <c r="AA58" s="141"/>
      <c r="AB58" s="142">
        <f t="shared" si="28"/>
        <v>-10066.120000000024</v>
      </c>
      <c r="AC58" s="142"/>
      <c r="AD58" s="141">
        <f t="shared" si="29"/>
        <v>0.91608403034610697</v>
      </c>
      <c r="AE58" s="142"/>
      <c r="AF58" s="141">
        <f t="shared" si="8"/>
        <v>-8.391596965389303E-2</v>
      </c>
    </row>
    <row r="59" spans="1:32" s="63" customFormat="1" ht="54.95" customHeight="1" x14ac:dyDescent="0.85">
      <c r="A59" s="126" t="s">
        <v>378</v>
      </c>
      <c r="B59" s="139"/>
      <c r="C59" s="139">
        <v>0</v>
      </c>
      <c r="D59" s="139">
        <v>0</v>
      </c>
      <c r="E59" s="139">
        <v>0</v>
      </c>
      <c r="F59" s="139">
        <f>'BSC (Dome)'!I42+'BSC (Dome)'!I48</f>
        <v>9527.82</v>
      </c>
      <c r="G59" s="139">
        <v>0</v>
      </c>
      <c r="H59" s="139">
        <v>0</v>
      </c>
      <c r="I59" s="139">
        <f t="shared" si="25"/>
        <v>9527.82</v>
      </c>
      <c r="J59" s="140">
        <f t="shared" si="26"/>
        <v>3.7539529096716497E-3</v>
      </c>
      <c r="K59" s="140"/>
      <c r="L59" s="127" t="s">
        <v>378</v>
      </c>
      <c r="M59" s="139">
        <v>0</v>
      </c>
      <c r="N59" s="139">
        <v>7860.83</v>
      </c>
      <c r="O59" s="139">
        <v>0</v>
      </c>
      <c r="P59" s="139">
        <v>0</v>
      </c>
      <c r="Q59" s="139">
        <f>5821.66+3349.27</f>
        <v>9170.93</v>
      </c>
      <c r="R59" s="139">
        <v>0</v>
      </c>
      <c r="S59" s="139">
        <v>0</v>
      </c>
      <c r="T59" s="139">
        <f t="shared" si="2"/>
        <v>17031.760000000002</v>
      </c>
      <c r="U59" s="141">
        <f t="shared" si="27"/>
        <v>1.0375055879710229E-2</v>
      </c>
      <c r="V59" s="127" t="s">
        <v>378</v>
      </c>
      <c r="W59" s="141"/>
      <c r="X59" s="142">
        <f t="shared" si="4"/>
        <v>9527.82</v>
      </c>
      <c r="Y59" s="141"/>
      <c r="Z59" s="142">
        <f t="shared" si="5"/>
        <v>17031.760000000002</v>
      </c>
      <c r="AA59" s="141"/>
      <c r="AB59" s="142">
        <f>I59-T59</f>
        <v>-7503.9400000000023</v>
      </c>
      <c r="AC59" s="142"/>
      <c r="AD59" s="141">
        <f t="shared" si="29"/>
        <v>0.5594148813745613</v>
      </c>
      <c r="AE59" s="142"/>
      <c r="AF59" s="141">
        <f t="shared" si="8"/>
        <v>-0.4405851186254387</v>
      </c>
    </row>
    <row r="60" spans="1:32" s="63" customFormat="1" ht="54.95" customHeight="1" x14ac:dyDescent="0.85">
      <c r="A60" s="126" t="s">
        <v>241</v>
      </c>
      <c r="B60" s="139">
        <f>CNT!N208</f>
        <v>61238.800000000017</v>
      </c>
      <c r="C60" s="139">
        <v>0</v>
      </c>
      <c r="D60" s="139">
        <f>DEP!I43</f>
        <v>37384.850000000006</v>
      </c>
      <c r="E60" s="139">
        <v>0</v>
      </c>
      <c r="F60" s="139">
        <f>'BSC (Dome)'!I44</f>
        <v>486.66999999999996</v>
      </c>
      <c r="G60" s="139">
        <v>0</v>
      </c>
      <c r="H60" s="139">
        <v>0</v>
      </c>
      <c r="I60" s="139">
        <f t="shared" si="25"/>
        <v>99110.320000000022</v>
      </c>
      <c r="J60" s="140">
        <f t="shared" si="26"/>
        <v>3.9049381090584034E-2</v>
      </c>
      <c r="K60" s="140"/>
      <c r="L60" s="127" t="s">
        <v>241</v>
      </c>
      <c r="M60" s="139">
        <v>63674.77</v>
      </c>
      <c r="N60" s="139">
        <v>0</v>
      </c>
      <c r="O60" s="139">
        <v>30219</v>
      </c>
      <c r="P60" s="139">
        <v>0</v>
      </c>
      <c r="Q60" s="139">
        <v>756.98</v>
      </c>
      <c r="R60" s="139">
        <v>-1113.3599999999999</v>
      </c>
      <c r="S60" s="139">
        <v>0</v>
      </c>
      <c r="T60" s="139">
        <f t="shared" si="2"/>
        <v>93537.389999999985</v>
      </c>
      <c r="U60" s="141">
        <f t="shared" si="27"/>
        <v>5.6979175851012961E-2</v>
      </c>
      <c r="V60" s="127" t="s">
        <v>241</v>
      </c>
      <c r="W60" s="141"/>
      <c r="X60" s="142">
        <f t="shared" si="4"/>
        <v>99110.320000000022</v>
      </c>
      <c r="Y60" s="141"/>
      <c r="Z60" s="142">
        <f t="shared" si="5"/>
        <v>93537.389999999985</v>
      </c>
      <c r="AA60" s="141"/>
      <c r="AB60" s="142">
        <f t="shared" si="28"/>
        <v>5572.9300000000367</v>
      </c>
      <c r="AC60" s="142"/>
      <c r="AD60" s="141">
        <f t="shared" si="29"/>
        <v>1.0595797039023651</v>
      </c>
      <c r="AE60" s="142"/>
      <c r="AF60" s="141">
        <f t="shared" si="8"/>
        <v>5.9579703902365111E-2</v>
      </c>
    </row>
    <row r="61" spans="1:32" s="63" customFormat="1" ht="54.95" customHeight="1" x14ac:dyDescent="0.85">
      <c r="A61" s="126" t="s">
        <v>242</v>
      </c>
      <c r="B61" s="139">
        <f>CNT!N209</f>
        <v>24366.89</v>
      </c>
      <c r="C61" s="139">
        <v>0</v>
      </c>
      <c r="D61" s="139">
        <f>DEP!I44</f>
        <v>10598.58</v>
      </c>
      <c r="E61" s="139">
        <v>0</v>
      </c>
      <c r="F61" s="139">
        <v>0</v>
      </c>
      <c r="G61" s="139">
        <v>0</v>
      </c>
      <c r="H61" s="139">
        <v>0</v>
      </c>
      <c r="I61" s="139">
        <f t="shared" si="25"/>
        <v>34965.47</v>
      </c>
      <c r="J61" s="140">
        <f t="shared" si="26"/>
        <v>1.3776365196292203E-2</v>
      </c>
      <c r="K61" s="140"/>
      <c r="L61" s="127" t="s">
        <v>242</v>
      </c>
      <c r="M61" s="139">
        <v>20664.52</v>
      </c>
      <c r="N61" s="139">
        <v>0</v>
      </c>
      <c r="O61" s="139">
        <v>12469.92</v>
      </c>
      <c r="P61" s="139">
        <v>0</v>
      </c>
      <c r="Q61" s="139">
        <v>0</v>
      </c>
      <c r="R61" s="139">
        <v>0</v>
      </c>
      <c r="S61" s="139">
        <v>0</v>
      </c>
      <c r="T61" s="139">
        <f t="shared" si="2"/>
        <v>33134.44</v>
      </c>
      <c r="U61" s="141">
        <f t="shared" si="27"/>
        <v>2.0184153988953919E-2</v>
      </c>
      <c r="V61" s="127" t="s">
        <v>242</v>
      </c>
      <c r="W61" s="141"/>
      <c r="X61" s="142">
        <f t="shared" si="4"/>
        <v>34965.47</v>
      </c>
      <c r="Y61" s="141"/>
      <c r="Z61" s="142">
        <f t="shared" si="5"/>
        <v>33134.44</v>
      </c>
      <c r="AA61" s="141"/>
      <c r="AB61" s="142">
        <f t="shared" si="28"/>
        <v>1831.0299999999988</v>
      </c>
      <c r="AC61" s="142"/>
      <c r="AD61" s="141">
        <f t="shared" si="29"/>
        <v>1.0552606291218443</v>
      </c>
      <c r="AE61" s="142"/>
      <c r="AF61" s="141">
        <f t="shared" si="8"/>
        <v>5.5260629121844262E-2</v>
      </c>
    </row>
    <row r="62" spans="1:32" s="63" customFormat="1" ht="54.95" customHeight="1" x14ac:dyDescent="0.85">
      <c r="A62" s="126" t="s">
        <v>240</v>
      </c>
      <c r="B62" s="139">
        <f>CNT!N210</f>
        <v>35531.449999999997</v>
      </c>
      <c r="C62" s="139">
        <v>0</v>
      </c>
      <c r="D62" s="139">
        <f>DEP!I45</f>
        <v>112993.73</v>
      </c>
      <c r="E62" s="139">
        <v>0</v>
      </c>
      <c r="F62" s="139">
        <f>'BSC (Dome)'!I46</f>
        <v>16970</v>
      </c>
      <c r="G62" s="139">
        <v>0</v>
      </c>
      <c r="H62" s="139">
        <v>0</v>
      </c>
      <c r="I62" s="139">
        <f t="shared" si="25"/>
        <v>165495.18</v>
      </c>
      <c r="J62" s="140">
        <f t="shared" si="26"/>
        <v>6.520495900401492E-2</v>
      </c>
      <c r="K62" s="140"/>
      <c r="L62" s="127" t="s">
        <v>240</v>
      </c>
      <c r="M62" s="139">
        <v>30398.5</v>
      </c>
      <c r="N62" s="139">
        <v>0</v>
      </c>
      <c r="O62" s="139">
        <v>0</v>
      </c>
      <c r="P62" s="139">
        <v>0</v>
      </c>
      <c r="Q62" s="139">
        <v>23420</v>
      </c>
      <c r="R62" s="139">
        <v>0</v>
      </c>
      <c r="S62" s="139">
        <v>0</v>
      </c>
      <c r="T62" s="139">
        <f t="shared" si="2"/>
        <v>53818.5</v>
      </c>
      <c r="U62" s="141">
        <f t="shared" si="27"/>
        <v>3.2784042568835221E-2</v>
      </c>
      <c r="V62" s="127" t="s">
        <v>240</v>
      </c>
      <c r="W62" s="141"/>
      <c r="X62" s="142">
        <f t="shared" si="4"/>
        <v>165495.18</v>
      </c>
      <c r="Y62" s="141"/>
      <c r="Z62" s="142">
        <f t="shared" si="5"/>
        <v>53818.5</v>
      </c>
      <c r="AA62" s="141"/>
      <c r="AB62" s="142">
        <f t="shared" si="28"/>
        <v>111676.68</v>
      </c>
      <c r="AC62" s="142"/>
      <c r="AD62" s="141">
        <f t="shared" si="29"/>
        <v>3.0750611778477661</v>
      </c>
      <c r="AE62" s="142"/>
      <c r="AF62" s="141">
        <f t="shared" si="8"/>
        <v>2.0750611778477661</v>
      </c>
    </row>
    <row r="63" spans="1:32" s="63" customFormat="1" ht="54.95" customHeight="1" x14ac:dyDescent="0.85">
      <c r="A63" s="126" t="s">
        <v>362</v>
      </c>
      <c r="B63" s="139">
        <v>0</v>
      </c>
      <c r="C63" s="139">
        <v>0</v>
      </c>
      <c r="D63" s="139">
        <v>0</v>
      </c>
      <c r="E63" s="139">
        <v>0</v>
      </c>
      <c r="F63" s="139">
        <f>'BSC (Dome)'!I43</f>
        <v>11940.4</v>
      </c>
      <c r="G63" s="139">
        <v>0</v>
      </c>
      <c r="H63" s="139">
        <v>0</v>
      </c>
      <c r="I63" s="139">
        <f t="shared" si="25"/>
        <v>11940.4</v>
      </c>
      <c r="J63" s="140">
        <f t="shared" si="26"/>
        <v>4.7045073608279085E-3</v>
      </c>
      <c r="K63" s="140"/>
      <c r="L63" s="127" t="s">
        <v>362</v>
      </c>
      <c r="M63" s="139">
        <v>0</v>
      </c>
      <c r="N63" s="139">
        <v>0</v>
      </c>
      <c r="O63" s="139">
        <v>0</v>
      </c>
      <c r="P63" s="139">
        <v>0</v>
      </c>
      <c r="Q63" s="139">
        <f>723.8+7288.25</f>
        <v>8012.05</v>
      </c>
      <c r="R63" s="139">
        <v>0</v>
      </c>
      <c r="S63" s="139">
        <v>0</v>
      </c>
      <c r="T63" s="139">
        <f t="shared" si="2"/>
        <v>8012.05</v>
      </c>
      <c r="U63" s="141">
        <f t="shared" si="27"/>
        <v>4.8806151836940127E-3</v>
      </c>
      <c r="V63" s="127" t="s">
        <v>362</v>
      </c>
      <c r="W63" s="141"/>
      <c r="X63" s="142">
        <f t="shared" si="4"/>
        <v>11940.4</v>
      </c>
      <c r="Y63" s="141"/>
      <c r="Z63" s="142">
        <f t="shared" si="5"/>
        <v>8012.05</v>
      </c>
      <c r="AA63" s="141"/>
      <c r="AB63" s="142">
        <f t="shared" si="28"/>
        <v>3928.3499999999995</v>
      </c>
      <c r="AC63" s="142"/>
      <c r="AD63" s="141">
        <f t="shared" si="29"/>
        <v>1.4903052277507005</v>
      </c>
      <c r="AE63" s="142"/>
      <c r="AF63" s="141">
        <f t="shared" si="8"/>
        <v>0.49030522775070051</v>
      </c>
    </row>
    <row r="64" spans="1:32" s="63" customFormat="1" ht="54.95" customHeight="1" x14ac:dyDescent="0.85">
      <c r="A64" s="126" t="s">
        <v>243</v>
      </c>
      <c r="B64" s="139">
        <f>CNT!N211</f>
        <v>7756.71</v>
      </c>
      <c r="C64" s="139">
        <v>0</v>
      </c>
      <c r="D64" s="139">
        <f>DEP!I46</f>
        <v>152.47</v>
      </c>
      <c r="E64" s="139">
        <v>0</v>
      </c>
      <c r="F64" s="139">
        <f>'BSC (Dome)'!I49</f>
        <v>1417.5100000000002</v>
      </c>
      <c r="G64" s="139">
        <v>0</v>
      </c>
      <c r="H64" s="139">
        <v>0</v>
      </c>
      <c r="I64" s="139">
        <f t="shared" si="25"/>
        <v>9326.69</v>
      </c>
      <c r="J64" s="140">
        <f t="shared" si="26"/>
        <v>3.6747078621453262E-3</v>
      </c>
      <c r="K64" s="140"/>
      <c r="L64" s="127" t="s">
        <v>243</v>
      </c>
      <c r="M64" s="139">
        <v>18599.919999999998</v>
      </c>
      <c r="N64" s="139">
        <v>0</v>
      </c>
      <c r="O64" s="139">
        <v>3406.48</v>
      </c>
      <c r="P64" s="139">
        <v>0</v>
      </c>
      <c r="Q64" s="139">
        <v>794.62</v>
      </c>
      <c r="R64" s="139">
        <v>0</v>
      </c>
      <c r="S64" s="139">
        <v>0</v>
      </c>
      <c r="T64" s="139">
        <f t="shared" si="2"/>
        <v>22801.019999999997</v>
      </c>
      <c r="U64" s="141">
        <f t="shared" si="27"/>
        <v>1.3889454561031302E-2</v>
      </c>
      <c r="V64" s="127" t="s">
        <v>243</v>
      </c>
      <c r="W64" s="141"/>
      <c r="X64" s="142">
        <f t="shared" si="4"/>
        <v>9326.69</v>
      </c>
      <c r="Y64" s="141"/>
      <c r="Z64" s="142">
        <f t="shared" si="5"/>
        <v>22801.019999999997</v>
      </c>
      <c r="AA64" s="141"/>
      <c r="AB64" s="142">
        <f t="shared" si="28"/>
        <v>-13474.329999999996</v>
      </c>
      <c r="AC64" s="142"/>
      <c r="AD64" s="141">
        <f t="shared" si="29"/>
        <v>0.40904705140384079</v>
      </c>
      <c r="AE64" s="142"/>
      <c r="AF64" s="141">
        <f t="shared" si="8"/>
        <v>-0.59095294859615921</v>
      </c>
    </row>
    <row r="65" spans="1:32" s="63" customFormat="1" ht="54.95" customHeight="1" x14ac:dyDescent="0.85">
      <c r="A65" s="126" t="s">
        <v>244</v>
      </c>
      <c r="B65" s="139">
        <f>CNT!N212</f>
        <v>3936.95</v>
      </c>
      <c r="C65" s="139">
        <v>0</v>
      </c>
      <c r="D65" s="139">
        <f>DEP!I48</f>
        <v>2383.4499999999998</v>
      </c>
      <c r="E65" s="139">
        <v>0</v>
      </c>
      <c r="F65" s="139">
        <v>0</v>
      </c>
      <c r="G65" s="139">
        <v>0</v>
      </c>
      <c r="H65" s="139">
        <v>0</v>
      </c>
      <c r="I65" s="139">
        <f t="shared" si="25"/>
        <v>6320.4</v>
      </c>
      <c r="J65" s="140">
        <f t="shared" si="26"/>
        <v>2.4902321801092689E-3</v>
      </c>
      <c r="K65" s="140"/>
      <c r="L65" s="127" t="s">
        <v>244</v>
      </c>
      <c r="M65" s="139">
        <v>2046.75</v>
      </c>
      <c r="N65" s="139">
        <v>574.30999999999995</v>
      </c>
      <c r="O65" s="139">
        <v>2200.8000000000002</v>
      </c>
      <c r="P65" s="139">
        <v>0</v>
      </c>
      <c r="Q65" s="139">
        <v>0</v>
      </c>
      <c r="R65" s="139">
        <v>0</v>
      </c>
      <c r="S65" s="139">
        <v>0</v>
      </c>
      <c r="T65" s="139">
        <f t="shared" si="2"/>
        <v>4821.8600000000006</v>
      </c>
      <c r="U65" s="141">
        <f t="shared" si="27"/>
        <v>2.9372811115316072E-3</v>
      </c>
      <c r="V65" s="127" t="s">
        <v>244</v>
      </c>
      <c r="W65" s="141"/>
      <c r="X65" s="142">
        <f t="shared" si="4"/>
        <v>6320.4</v>
      </c>
      <c r="Y65" s="141"/>
      <c r="Z65" s="142">
        <f t="shared" si="5"/>
        <v>4821.8600000000006</v>
      </c>
      <c r="AA65" s="141"/>
      <c r="AB65" s="142">
        <f t="shared" si="28"/>
        <v>1498.5399999999991</v>
      </c>
      <c r="AC65" s="142"/>
      <c r="AD65" s="141">
        <f t="shared" si="29"/>
        <v>1.3107804871978861</v>
      </c>
      <c r="AE65" s="142"/>
      <c r="AF65" s="141">
        <f t="shared" si="8"/>
        <v>0.31078048719788609</v>
      </c>
    </row>
    <row r="66" spans="1:32" s="63" customFormat="1" ht="54.95" customHeight="1" x14ac:dyDescent="0.85">
      <c r="A66" s="126" t="s">
        <v>245</v>
      </c>
      <c r="B66" s="139">
        <f>CNT!N213</f>
        <v>2333.31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f t="shared" si="25"/>
        <v>2333.31</v>
      </c>
      <c r="J66" s="140">
        <f t="shared" si="26"/>
        <v>9.1932213913213689E-4</v>
      </c>
      <c r="K66" s="140"/>
      <c r="L66" s="127" t="s">
        <v>245</v>
      </c>
      <c r="M66" s="139">
        <v>2800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f t="shared" si="2"/>
        <v>2800</v>
      </c>
      <c r="U66" s="141">
        <f t="shared" si="27"/>
        <v>1.705646184727159E-3</v>
      </c>
      <c r="V66" s="127" t="s">
        <v>245</v>
      </c>
      <c r="W66" s="141"/>
      <c r="X66" s="142">
        <f t="shared" si="4"/>
        <v>2333.31</v>
      </c>
      <c r="Y66" s="141"/>
      <c r="Z66" s="142">
        <f t="shared" si="5"/>
        <v>2800</v>
      </c>
      <c r="AA66" s="141"/>
      <c r="AB66" s="142">
        <f t="shared" si="28"/>
        <v>-466.69000000000005</v>
      </c>
      <c r="AC66" s="142"/>
      <c r="AD66" s="141">
        <f t="shared" si="29"/>
        <v>0.83332499999999998</v>
      </c>
      <c r="AE66" s="142"/>
      <c r="AF66" s="141">
        <f t="shared" si="8"/>
        <v>-0.16667500000000002</v>
      </c>
    </row>
    <row r="67" spans="1:32" s="63" customFormat="1" ht="54.95" customHeight="1" x14ac:dyDescent="0.85">
      <c r="A67" s="126" t="s">
        <v>246</v>
      </c>
      <c r="B67" s="139">
        <f>CNT!N214+CNT!N217</f>
        <v>881536.42</v>
      </c>
      <c r="C67" s="139">
        <f>BPM!I41</f>
        <v>2652.16</v>
      </c>
      <c r="D67" s="139">
        <f>DEP!I49</f>
        <v>73023.61</v>
      </c>
      <c r="E67" s="139">
        <v>0</v>
      </c>
      <c r="F67" s="139">
        <f>'BSC (Dome)'!I52</f>
        <v>65675.03</v>
      </c>
      <c r="G67" s="139">
        <f>'Oliari Co.'!I11</f>
        <v>64758.890000000014</v>
      </c>
      <c r="H67" s="139">
        <f>'722 Bedford St'!I11</f>
        <v>102902.56</v>
      </c>
      <c r="I67" s="139">
        <f t="shared" si="25"/>
        <v>1190548.6700000002</v>
      </c>
      <c r="J67" s="140">
        <f t="shared" si="26"/>
        <v>0.46907515505668801</v>
      </c>
      <c r="K67" s="140"/>
      <c r="L67" s="127" t="s">
        <v>246</v>
      </c>
      <c r="M67" s="139">
        <v>455000</v>
      </c>
      <c r="N67" s="139">
        <v>2500</v>
      </c>
      <c r="O67" s="139">
        <v>65000</v>
      </c>
      <c r="P67" s="139">
        <v>0</v>
      </c>
      <c r="Q67" s="139">
        <v>63000</v>
      </c>
      <c r="R67" s="139">
        <v>35163.4</v>
      </c>
      <c r="S67" s="139">
        <v>0</v>
      </c>
      <c r="T67" s="139">
        <f t="shared" si="2"/>
        <v>620663.4</v>
      </c>
      <c r="U67" s="141">
        <f t="shared" si="27"/>
        <v>0.37808291436063812</v>
      </c>
      <c r="V67" s="127" t="s">
        <v>246</v>
      </c>
      <c r="W67" s="141"/>
      <c r="X67" s="142">
        <f t="shared" si="4"/>
        <v>1190548.6700000002</v>
      </c>
      <c r="Y67" s="141"/>
      <c r="Z67" s="142">
        <f t="shared" si="5"/>
        <v>620663.4</v>
      </c>
      <c r="AA67" s="141"/>
      <c r="AB67" s="142">
        <f t="shared" si="28"/>
        <v>569885.27000000014</v>
      </c>
      <c r="AC67" s="142"/>
      <c r="AD67" s="141">
        <f t="shared" si="29"/>
        <v>1.9181873298796097</v>
      </c>
      <c r="AE67" s="142"/>
      <c r="AF67" s="141">
        <f t="shared" si="8"/>
        <v>0.91818732987960971</v>
      </c>
    </row>
    <row r="68" spans="1:32" s="63" customFormat="1" ht="54.95" customHeight="1" x14ac:dyDescent="0.85">
      <c r="A68" s="126" t="s">
        <v>256</v>
      </c>
      <c r="B68" s="139">
        <f>CNT!N232</f>
        <v>1268.68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f t="shared" si="25"/>
        <v>1268.68</v>
      </c>
      <c r="J68" s="140">
        <f t="shared" si="26"/>
        <v>4.9985883207724635E-4</v>
      </c>
      <c r="K68" s="140"/>
      <c r="L68" s="127" t="s">
        <v>256</v>
      </c>
      <c r="M68" s="139">
        <v>2739.31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f t="shared" si="2"/>
        <v>2739.31</v>
      </c>
      <c r="U68" s="141">
        <f t="shared" si="27"/>
        <v>1.6686763036731979E-3</v>
      </c>
      <c r="V68" s="127" t="s">
        <v>256</v>
      </c>
      <c r="W68" s="141"/>
      <c r="X68" s="142">
        <f t="shared" si="4"/>
        <v>1268.68</v>
      </c>
      <c r="Y68" s="141"/>
      <c r="Z68" s="142">
        <f t="shared" si="5"/>
        <v>2739.31</v>
      </c>
      <c r="AA68" s="141"/>
      <c r="AB68" s="142">
        <f t="shared" si="28"/>
        <v>-1470.6299999999999</v>
      </c>
      <c r="AC68" s="142"/>
      <c r="AD68" s="141">
        <f t="shared" si="29"/>
        <v>0.46313852758541385</v>
      </c>
      <c r="AE68" s="142"/>
      <c r="AF68" s="141">
        <f t="shared" si="8"/>
        <v>-0.53686147241458615</v>
      </c>
    </row>
    <row r="69" spans="1:32" s="63" customFormat="1" ht="54.95" customHeight="1" x14ac:dyDescent="0.85">
      <c r="A69" s="126" t="s">
        <v>359</v>
      </c>
      <c r="B69" s="139">
        <f>CNT!N246</f>
        <v>270</v>
      </c>
      <c r="C69" s="139">
        <f>BPM!I50</f>
        <v>258.95000000000005</v>
      </c>
      <c r="D69" s="139">
        <f>DEP!I64</f>
        <v>149</v>
      </c>
      <c r="E69" s="139">
        <f>Lending!I10</f>
        <v>109</v>
      </c>
      <c r="F69" s="139">
        <f>'BSC (Dome)'!I47</f>
        <v>565</v>
      </c>
      <c r="G69" s="139">
        <f>'Oliari Co.'!I10</f>
        <v>520</v>
      </c>
      <c r="H69" s="139">
        <f>'722 Bedford St'!I10</f>
        <v>520</v>
      </c>
      <c r="I69" s="139">
        <f t="shared" si="25"/>
        <v>2391.9499999999998</v>
      </c>
      <c r="J69" s="140">
        <f t="shared" si="26"/>
        <v>9.4242624884696626E-4</v>
      </c>
      <c r="K69" s="140"/>
      <c r="L69" s="127" t="s">
        <v>359</v>
      </c>
      <c r="M69" s="139">
        <v>0</v>
      </c>
      <c r="N69" s="139">
        <v>0</v>
      </c>
      <c r="O69" s="139">
        <v>0</v>
      </c>
      <c r="P69" s="139">
        <v>0</v>
      </c>
      <c r="Q69" s="139">
        <v>565</v>
      </c>
      <c r="R69" s="139">
        <v>0</v>
      </c>
      <c r="S69" s="139">
        <v>520</v>
      </c>
      <c r="T69" s="139">
        <f t="shared" si="2"/>
        <v>1085</v>
      </c>
      <c r="U69" s="141">
        <f t="shared" si="27"/>
        <v>6.6093789658177411E-4</v>
      </c>
      <c r="V69" s="127" t="s">
        <v>359</v>
      </c>
      <c r="W69" s="141"/>
      <c r="X69" s="142">
        <f t="shared" si="4"/>
        <v>2391.9499999999998</v>
      </c>
      <c r="Y69" s="141"/>
      <c r="Z69" s="142">
        <f t="shared" si="5"/>
        <v>1085</v>
      </c>
      <c r="AA69" s="141"/>
      <c r="AB69" s="142">
        <f t="shared" si="28"/>
        <v>1306.9499999999998</v>
      </c>
      <c r="AC69" s="142"/>
      <c r="AD69" s="141">
        <f t="shared" si="29"/>
        <v>2.2045622119815667</v>
      </c>
      <c r="AE69" s="142"/>
      <c r="AF69" s="141">
        <f t="shared" si="8"/>
        <v>1.2045622119815667</v>
      </c>
    </row>
    <row r="70" spans="1:32" s="63" customFormat="1" ht="54.95" customHeight="1" x14ac:dyDescent="0.85">
      <c r="A70" s="126" t="s">
        <v>249</v>
      </c>
      <c r="B70" s="139">
        <f>CNT!N231</f>
        <v>12135.779999999999</v>
      </c>
      <c r="C70" s="139">
        <v>0</v>
      </c>
      <c r="D70" s="139">
        <f>DEP!I50</f>
        <v>11511.339999999998</v>
      </c>
      <c r="E70" s="139">
        <v>0</v>
      </c>
      <c r="F70" s="139">
        <v>0</v>
      </c>
      <c r="G70" s="139">
        <v>0</v>
      </c>
      <c r="H70" s="139">
        <v>0</v>
      </c>
      <c r="I70" s="139">
        <f t="shared" si="25"/>
        <v>23647.119999999995</v>
      </c>
      <c r="J70" s="140">
        <f t="shared" si="26"/>
        <v>9.3169450020418772E-3</v>
      </c>
      <c r="K70" s="140"/>
      <c r="L70" s="127" t="s">
        <v>249</v>
      </c>
      <c r="M70" s="139">
        <v>3960.19</v>
      </c>
      <c r="N70" s="139">
        <v>0</v>
      </c>
      <c r="O70" s="139">
        <v>4235.18</v>
      </c>
      <c r="P70" s="139">
        <v>0</v>
      </c>
      <c r="Q70" s="139">
        <v>0</v>
      </c>
      <c r="R70" s="139">
        <v>0</v>
      </c>
      <c r="S70" s="139">
        <v>0</v>
      </c>
      <c r="T70" s="139">
        <f t="shared" si="2"/>
        <v>8195.3700000000008</v>
      </c>
      <c r="U70" s="141">
        <f>T70/$T$74</f>
        <v>4.9922862760455071E-3</v>
      </c>
      <c r="V70" s="127" t="s">
        <v>249</v>
      </c>
      <c r="W70" s="141"/>
      <c r="X70" s="142">
        <f t="shared" si="4"/>
        <v>23647.119999999995</v>
      </c>
      <c r="Y70" s="141"/>
      <c r="Z70" s="142">
        <f t="shared" si="5"/>
        <v>8195.3700000000008</v>
      </c>
      <c r="AA70" s="141"/>
      <c r="AB70" s="142">
        <f t="shared" si="28"/>
        <v>15451.749999999995</v>
      </c>
      <c r="AC70" s="142"/>
      <c r="AD70" s="141">
        <f t="shared" si="29"/>
        <v>2.885424331055217</v>
      </c>
      <c r="AE70" s="142"/>
      <c r="AF70" s="141">
        <f t="shared" si="8"/>
        <v>1.885424331055217</v>
      </c>
    </row>
    <row r="71" spans="1:32" s="63" customFormat="1" ht="54.95" customHeight="1" x14ac:dyDescent="0.85">
      <c r="A71" s="126" t="s">
        <v>250</v>
      </c>
      <c r="B71" s="139">
        <f>CNT!N235+CNT!N216</f>
        <v>98930.089999999982</v>
      </c>
      <c r="C71" s="139">
        <v>0</v>
      </c>
      <c r="D71" s="139">
        <f>DEP!I47</f>
        <v>50672.959999999999</v>
      </c>
      <c r="E71" s="139">
        <v>0</v>
      </c>
      <c r="F71" s="139">
        <v>0</v>
      </c>
      <c r="G71" s="139">
        <v>0</v>
      </c>
      <c r="H71" s="139">
        <v>0</v>
      </c>
      <c r="I71" s="139">
        <f t="shared" si="25"/>
        <v>149603.04999999999</v>
      </c>
      <c r="J71" s="140">
        <f t="shared" si="26"/>
        <v>5.8943473411887846E-2</v>
      </c>
      <c r="K71" s="140"/>
      <c r="L71" s="127" t="s">
        <v>250</v>
      </c>
      <c r="M71" s="139">
        <v>1675</v>
      </c>
      <c r="N71" s="139">
        <v>0</v>
      </c>
      <c r="O71" s="139">
        <v>42330.81</v>
      </c>
      <c r="P71" s="139">
        <v>0</v>
      </c>
      <c r="Q71" s="139">
        <v>0</v>
      </c>
      <c r="R71" s="139">
        <v>0</v>
      </c>
      <c r="S71" s="139">
        <v>0</v>
      </c>
      <c r="T71" s="139">
        <f t="shared" si="2"/>
        <v>44005.81</v>
      </c>
      <c r="U71" s="141">
        <f>T71/$T$74</f>
        <v>2.6806550690117236E-2</v>
      </c>
      <c r="V71" s="127" t="s">
        <v>250</v>
      </c>
      <c r="W71" s="141"/>
      <c r="X71" s="142">
        <f t="shared" si="4"/>
        <v>149603.04999999999</v>
      </c>
      <c r="Y71" s="141"/>
      <c r="Z71" s="142">
        <f t="shared" si="5"/>
        <v>44005.81</v>
      </c>
      <c r="AA71" s="141"/>
      <c r="AB71" s="142">
        <f t="shared" si="28"/>
        <v>105597.23999999999</v>
      </c>
      <c r="AC71" s="142"/>
      <c r="AD71" s="141">
        <f t="shared" si="29"/>
        <v>3.3996204137590014</v>
      </c>
      <c r="AE71" s="142"/>
      <c r="AF71" s="141">
        <f t="shared" si="8"/>
        <v>2.3996204137590014</v>
      </c>
    </row>
    <row r="72" spans="1:32" s="63" customFormat="1" ht="54.95" customHeight="1" x14ac:dyDescent="0.85">
      <c r="A72" s="126" t="s">
        <v>372</v>
      </c>
      <c r="B72" s="139">
        <f>CNT!N240</f>
        <v>15121.89</v>
      </c>
      <c r="C72" s="139">
        <v>0</v>
      </c>
      <c r="D72" s="139">
        <f>DEP!I51</f>
        <v>7476.93</v>
      </c>
      <c r="E72" s="139">
        <v>0</v>
      </c>
      <c r="F72" s="139">
        <f>'BSC (Dome)'!I54</f>
        <v>2372.79</v>
      </c>
      <c r="G72" s="139">
        <v>0</v>
      </c>
      <c r="H72" s="139">
        <v>0</v>
      </c>
      <c r="I72" s="139">
        <f t="shared" si="25"/>
        <v>24971.61</v>
      </c>
      <c r="J72" s="140">
        <f t="shared" si="26"/>
        <v>9.8387929262607459E-3</v>
      </c>
      <c r="K72" s="140"/>
      <c r="L72" s="127" t="s">
        <v>372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f t="shared" si="2"/>
        <v>0</v>
      </c>
      <c r="U72" s="141">
        <f>T72/$T$74</f>
        <v>0</v>
      </c>
      <c r="V72" s="127" t="s">
        <v>372</v>
      </c>
      <c r="W72" s="141"/>
      <c r="X72" s="142">
        <f t="shared" si="4"/>
        <v>24971.61</v>
      </c>
      <c r="Y72" s="141"/>
      <c r="Z72" s="142">
        <f t="shared" si="5"/>
        <v>0</v>
      </c>
      <c r="AA72" s="141"/>
      <c r="AB72" s="142">
        <f t="shared" si="28"/>
        <v>24971.61</v>
      </c>
      <c r="AC72" s="142"/>
      <c r="AD72" s="154">
        <v>0</v>
      </c>
      <c r="AE72" s="142"/>
      <c r="AF72" s="141">
        <f t="shared" si="8"/>
        <v>-1</v>
      </c>
    </row>
    <row r="73" spans="1:32" s="63" customFormat="1" ht="54.95" customHeight="1" x14ac:dyDescent="0.85">
      <c r="A73" s="126" t="s">
        <v>373</v>
      </c>
      <c r="B73" s="139">
        <f>CNT!N241</f>
        <v>7397.14</v>
      </c>
      <c r="C73" s="139">
        <f>BPM!I47</f>
        <v>4082.29</v>
      </c>
      <c r="D73" s="139">
        <f>DEP!I52</f>
        <v>4504.62</v>
      </c>
      <c r="E73" s="139">
        <v>0</v>
      </c>
      <c r="F73" s="139">
        <f>'BSC (Dome)'!I55</f>
        <v>4376</v>
      </c>
      <c r="G73" s="139">
        <v>0</v>
      </c>
      <c r="H73" s="139">
        <v>0</v>
      </c>
      <c r="I73" s="139">
        <f t="shared" si="25"/>
        <v>20360.05</v>
      </c>
      <c r="J73" s="140">
        <f t="shared" si="26"/>
        <v>8.0218422407812347E-3</v>
      </c>
      <c r="K73" s="140"/>
      <c r="L73" s="127" t="s">
        <v>373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f t="shared" si="2"/>
        <v>0</v>
      </c>
      <c r="U73" s="141">
        <f>T73/$T$74</f>
        <v>0</v>
      </c>
      <c r="V73" s="127" t="s">
        <v>373</v>
      </c>
      <c r="W73" s="141"/>
      <c r="X73" s="142">
        <f t="shared" si="4"/>
        <v>20360.05</v>
      </c>
      <c r="Y73" s="141"/>
      <c r="Z73" s="142">
        <f t="shared" si="5"/>
        <v>0</v>
      </c>
      <c r="AA73" s="141"/>
      <c r="AB73" s="142">
        <f t="shared" si="28"/>
        <v>20360.05</v>
      </c>
      <c r="AC73" s="142"/>
      <c r="AD73" s="154">
        <v>0</v>
      </c>
      <c r="AE73" s="142"/>
      <c r="AF73" s="155">
        <f t="shared" si="8"/>
        <v>-1</v>
      </c>
    </row>
    <row r="74" spans="1:32" s="63" customFormat="1" ht="54.95" customHeight="1" x14ac:dyDescent="0.85">
      <c r="A74" s="137" t="s">
        <v>251</v>
      </c>
      <c r="B74" s="144">
        <f>SUM(B52:B73)</f>
        <v>1510355.22</v>
      </c>
      <c r="C74" s="144">
        <f t="shared" ref="C74:H74" si="30">SUM(C52:C73)</f>
        <v>9713.1299999999992</v>
      </c>
      <c r="D74" s="144">
        <f t="shared" si="30"/>
        <v>656607.18999999994</v>
      </c>
      <c r="E74" s="144">
        <f t="shared" si="30"/>
        <v>109</v>
      </c>
      <c r="F74" s="144">
        <f>SUM(F52:F73)</f>
        <v>192590.6</v>
      </c>
      <c r="G74" s="144">
        <f>SUM(G52:G73)</f>
        <v>65278.890000000014</v>
      </c>
      <c r="H74" s="144">
        <f t="shared" si="30"/>
        <v>103422.56</v>
      </c>
      <c r="I74" s="144">
        <f t="shared" si="25"/>
        <v>2538076.5900000003</v>
      </c>
      <c r="J74" s="145">
        <f>SUM(J52:J73)</f>
        <v>1</v>
      </c>
      <c r="K74" s="146"/>
      <c r="L74" s="138" t="s">
        <v>251</v>
      </c>
      <c r="M74" s="144">
        <f t="shared" ref="M74:S74" si="31">SUM(M52:M73)</f>
        <v>985591.17999999993</v>
      </c>
      <c r="N74" s="144">
        <f t="shared" si="31"/>
        <v>10935.14</v>
      </c>
      <c r="O74" s="144">
        <f t="shared" si="31"/>
        <v>401468.08999999997</v>
      </c>
      <c r="P74" s="144">
        <f t="shared" si="31"/>
        <v>0</v>
      </c>
      <c r="Q74" s="144">
        <f t="shared" si="31"/>
        <v>209042.13</v>
      </c>
      <c r="R74" s="144">
        <f t="shared" si="31"/>
        <v>34050.04</v>
      </c>
      <c r="S74" s="144">
        <f t="shared" si="31"/>
        <v>520</v>
      </c>
      <c r="T74" s="144">
        <f t="shared" si="2"/>
        <v>1641606.58</v>
      </c>
      <c r="U74" s="147">
        <f>SUM(U52:U73)</f>
        <v>0.99999999999999989</v>
      </c>
      <c r="V74" s="138" t="s">
        <v>251</v>
      </c>
      <c r="W74" s="148"/>
      <c r="X74" s="149">
        <f t="shared" si="4"/>
        <v>2538076.5900000003</v>
      </c>
      <c r="Y74" s="148"/>
      <c r="Z74" s="149">
        <f t="shared" si="5"/>
        <v>1641606.58</v>
      </c>
      <c r="AA74" s="148"/>
      <c r="AB74" s="149">
        <f>I74-T74</f>
        <v>896470.01000000024</v>
      </c>
      <c r="AC74" s="149"/>
      <c r="AD74" s="147">
        <f>I74/T74</f>
        <v>1.546093090099578</v>
      </c>
      <c r="AE74" s="149"/>
      <c r="AF74" s="147">
        <f t="shared" si="8"/>
        <v>0.54609309009957796</v>
      </c>
    </row>
    <row r="75" spans="1:32" s="63" customFormat="1" ht="54.95" customHeight="1" x14ac:dyDescent="0.85">
      <c r="A75" s="126"/>
      <c r="B75" s="139"/>
      <c r="C75" s="139"/>
      <c r="D75" s="139"/>
      <c r="E75" s="139"/>
      <c r="F75" s="139"/>
      <c r="G75" s="139"/>
      <c r="H75" s="139"/>
      <c r="I75" s="139"/>
      <c r="J75" s="127"/>
      <c r="K75" s="127"/>
      <c r="L75" s="127"/>
      <c r="M75" s="139"/>
      <c r="N75" s="139"/>
      <c r="O75" s="139"/>
      <c r="P75" s="139"/>
      <c r="Q75" s="139"/>
      <c r="R75" s="139"/>
      <c r="S75" s="139"/>
      <c r="T75" s="139"/>
      <c r="U75" s="126"/>
      <c r="V75" s="127"/>
      <c r="W75" s="126"/>
      <c r="X75" s="142"/>
      <c r="Y75" s="126"/>
      <c r="Z75" s="142">
        <f t="shared" si="5"/>
        <v>0</v>
      </c>
      <c r="AA75" s="126"/>
      <c r="AB75" s="142"/>
      <c r="AC75" s="142"/>
      <c r="AD75" s="141"/>
      <c r="AE75" s="142"/>
      <c r="AF75" s="141"/>
    </row>
    <row r="76" spans="1:32" s="63" customFormat="1" ht="54.95" customHeight="1" x14ac:dyDescent="0.85">
      <c r="A76" s="137" t="s">
        <v>252</v>
      </c>
      <c r="B76" s="139"/>
      <c r="C76" s="139"/>
      <c r="D76" s="139"/>
      <c r="E76" s="139"/>
      <c r="F76" s="139"/>
      <c r="G76" s="139"/>
      <c r="H76" s="139"/>
      <c r="I76" s="139"/>
      <c r="J76" s="127"/>
      <c r="K76" s="127"/>
      <c r="L76" s="138" t="s">
        <v>252</v>
      </c>
      <c r="M76" s="139"/>
      <c r="N76" s="139"/>
      <c r="O76" s="139"/>
      <c r="P76" s="139"/>
      <c r="Q76" s="139"/>
      <c r="R76" s="139"/>
      <c r="S76" s="139"/>
      <c r="T76" s="139"/>
      <c r="U76" s="126"/>
      <c r="V76" s="138" t="s">
        <v>252</v>
      </c>
      <c r="W76" s="126"/>
      <c r="X76" s="142"/>
      <c r="Y76" s="126"/>
      <c r="Z76" s="142">
        <f t="shared" si="5"/>
        <v>0</v>
      </c>
      <c r="AA76" s="126"/>
      <c r="AB76" s="142"/>
      <c r="AC76" s="142"/>
      <c r="AD76" s="141"/>
      <c r="AE76" s="142"/>
      <c r="AF76" s="141"/>
    </row>
    <row r="77" spans="1:32" s="63" customFormat="1" ht="54.95" customHeight="1" x14ac:dyDescent="0.85">
      <c r="A77" s="126" t="s">
        <v>253</v>
      </c>
      <c r="B77" s="139">
        <f>CNT!N222</f>
        <v>6310.07</v>
      </c>
      <c r="C77" s="139">
        <v>0</v>
      </c>
      <c r="D77" s="139">
        <f>DEP!I56</f>
        <v>1125.44</v>
      </c>
      <c r="E77" s="139">
        <v>0</v>
      </c>
      <c r="F77" s="139">
        <f>'BSC (Dome)'!I59</f>
        <v>2430.92</v>
      </c>
      <c r="G77" s="139">
        <v>0</v>
      </c>
      <c r="H77" s="139">
        <v>0</v>
      </c>
      <c r="I77" s="139">
        <f t="shared" ref="I77:I98" si="32">SUM(B77:H77)</f>
        <v>9866.43</v>
      </c>
      <c r="J77" s="140">
        <f t="shared" ref="J77:J95" si="33">I77/$I$96</f>
        <v>1.4390347819938362E-2</v>
      </c>
      <c r="K77" s="140"/>
      <c r="L77" s="127" t="s">
        <v>253</v>
      </c>
      <c r="M77" s="139">
        <v>7330.82</v>
      </c>
      <c r="N77" s="139">
        <v>0</v>
      </c>
      <c r="O77" s="139">
        <v>1125.76</v>
      </c>
      <c r="P77" s="139">
        <v>0</v>
      </c>
      <c r="Q77" s="139">
        <v>0</v>
      </c>
      <c r="R77" s="139">
        <v>0</v>
      </c>
      <c r="S77" s="139">
        <v>0</v>
      </c>
      <c r="T77" s="139">
        <f t="shared" si="2"/>
        <v>8456.58</v>
      </c>
      <c r="U77" s="141">
        <f t="shared" ref="U77:U95" si="34">T77/$T$96</f>
        <v>1.3632013871976312E-2</v>
      </c>
      <c r="V77" s="127" t="s">
        <v>253</v>
      </c>
      <c r="W77" s="141"/>
      <c r="X77" s="142">
        <f t="shared" si="4"/>
        <v>9866.43</v>
      </c>
      <c r="Y77" s="141"/>
      <c r="Z77" s="142">
        <f t="shared" si="5"/>
        <v>8456.58</v>
      </c>
      <c r="AA77" s="141"/>
      <c r="AB77" s="142">
        <f>I77-T77</f>
        <v>1409.8500000000004</v>
      </c>
      <c r="AC77" s="142"/>
      <c r="AD77" s="141">
        <f>I77/T77</f>
        <v>1.1667163321342671</v>
      </c>
      <c r="AE77" s="142"/>
      <c r="AF77" s="141">
        <f t="shared" si="8"/>
        <v>0.16671633213426706</v>
      </c>
    </row>
    <row r="78" spans="1:32" s="63" customFormat="1" ht="54.95" customHeight="1" x14ac:dyDescent="0.85">
      <c r="A78" s="126" t="s">
        <v>395</v>
      </c>
      <c r="B78" s="139">
        <f>CNT!N220</f>
        <v>4500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f t="shared" si="32"/>
        <v>4500</v>
      </c>
      <c r="J78" s="140">
        <f t="shared" si="33"/>
        <v>6.5633228219044402E-3</v>
      </c>
      <c r="K78" s="140"/>
      <c r="L78" s="127" t="s">
        <v>395</v>
      </c>
      <c r="M78" s="139">
        <v>2500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f>SUM(M78:S78)</f>
        <v>2500</v>
      </c>
      <c r="U78" s="141">
        <f t="shared" si="34"/>
        <v>4.0300020433722359E-3</v>
      </c>
      <c r="V78" s="127" t="s">
        <v>395</v>
      </c>
      <c r="W78" s="141"/>
      <c r="X78" s="142">
        <f t="shared" si="4"/>
        <v>4500</v>
      </c>
      <c r="Y78" s="141"/>
      <c r="Z78" s="142">
        <f t="shared" si="5"/>
        <v>2500</v>
      </c>
      <c r="AA78" s="141"/>
      <c r="AB78" s="142">
        <f>I78-T78</f>
        <v>2000</v>
      </c>
      <c r="AC78" s="142"/>
      <c r="AD78" s="141">
        <f>I78/T78</f>
        <v>1.8</v>
      </c>
      <c r="AE78" s="142"/>
      <c r="AF78" s="141">
        <f>AD78-1</f>
        <v>0.8</v>
      </c>
    </row>
    <row r="79" spans="1:32" s="63" customFormat="1" ht="54.95" customHeight="1" x14ac:dyDescent="0.85">
      <c r="A79" s="126" t="s">
        <v>254</v>
      </c>
      <c r="B79" s="139">
        <f>CNT!N223</f>
        <v>68445.42</v>
      </c>
      <c r="C79" s="139">
        <f>BPM!I45</f>
        <v>5831.1</v>
      </c>
      <c r="D79" s="139">
        <f>DEP!I57</f>
        <v>5083.54</v>
      </c>
      <c r="E79" s="139">
        <f>Lending!I9</f>
        <v>1462.0700000000002</v>
      </c>
      <c r="F79" s="139">
        <f>'BSC (Dome)'!I60</f>
        <v>1869.6899999999996</v>
      </c>
      <c r="G79" s="139">
        <v>0</v>
      </c>
      <c r="H79" s="139">
        <f>'722 Bedford St'!I16</f>
        <v>561.19000000000005</v>
      </c>
      <c r="I79" s="139">
        <f t="shared" si="32"/>
        <v>83253.010000000009</v>
      </c>
      <c r="J79" s="140">
        <f t="shared" si="33"/>
        <v>0.12142586233894191</v>
      </c>
      <c r="K79" s="140"/>
      <c r="L79" s="127" t="s">
        <v>254</v>
      </c>
      <c r="M79" s="139">
        <v>77871.13</v>
      </c>
      <c r="N79" s="139">
        <v>4837.57</v>
      </c>
      <c r="O79" s="139">
        <v>5350.39</v>
      </c>
      <c r="P79" s="139">
        <v>1312.33</v>
      </c>
      <c r="Q79" s="139">
        <v>2685.11</v>
      </c>
      <c r="R79" s="139">
        <v>54</v>
      </c>
      <c r="S79" s="139">
        <v>493.37</v>
      </c>
      <c r="T79" s="139">
        <f t="shared" si="2"/>
        <v>92603.900000000009</v>
      </c>
      <c r="U79" s="141">
        <f t="shared" si="34"/>
        <v>0.14927756248969529</v>
      </c>
      <c r="V79" s="127" t="s">
        <v>254</v>
      </c>
      <c r="W79" s="141"/>
      <c r="X79" s="142">
        <f t="shared" si="4"/>
        <v>83253.010000000009</v>
      </c>
      <c r="Y79" s="141"/>
      <c r="Z79" s="142">
        <f t="shared" si="5"/>
        <v>92603.900000000009</v>
      </c>
      <c r="AA79" s="141"/>
      <c r="AB79" s="142">
        <f t="shared" ref="AB79:AB94" si="35">I79-T79</f>
        <v>-9350.89</v>
      </c>
      <c r="AC79" s="142"/>
      <c r="AD79" s="141">
        <f t="shared" ref="AD79:AD91" si="36">I79/T79</f>
        <v>0.89902271934551359</v>
      </c>
      <c r="AE79" s="142"/>
      <c r="AF79" s="141">
        <f t="shared" si="8"/>
        <v>-0.10097728065448641</v>
      </c>
    </row>
    <row r="80" spans="1:32" s="63" customFormat="1" ht="54.95" customHeight="1" x14ac:dyDescent="0.85">
      <c r="A80" s="126" t="s">
        <v>366</v>
      </c>
      <c r="B80" s="139">
        <v>0</v>
      </c>
      <c r="C80" s="139">
        <v>0</v>
      </c>
      <c r="D80" s="139">
        <v>0</v>
      </c>
      <c r="E80" s="139">
        <v>0</v>
      </c>
      <c r="F80" s="139">
        <f>'BSC (Dome)'!I61</f>
        <v>2903.1800000000003</v>
      </c>
      <c r="G80" s="139">
        <v>0</v>
      </c>
      <c r="H80" s="139">
        <v>0</v>
      </c>
      <c r="I80" s="139">
        <f t="shared" si="32"/>
        <v>2903.1800000000003</v>
      </c>
      <c r="J80" s="140">
        <f t="shared" si="33"/>
        <v>4.2343350111325633E-3</v>
      </c>
      <c r="K80" s="140"/>
      <c r="L80" s="127" t="s">
        <v>366</v>
      </c>
      <c r="M80" s="139">
        <v>0</v>
      </c>
      <c r="N80" s="139">
        <v>0</v>
      </c>
      <c r="O80" s="139">
        <v>0</v>
      </c>
      <c r="P80" s="139">
        <v>0</v>
      </c>
      <c r="Q80" s="139">
        <v>2405.39</v>
      </c>
      <c r="R80" s="139">
        <v>0</v>
      </c>
      <c r="S80" s="139">
        <v>0</v>
      </c>
      <c r="T80" s="139">
        <f>SUM(M80:S80)</f>
        <v>2405.39</v>
      </c>
      <c r="U80" s="141">
        <f t="shared" si="34"/>
        <v>3.8774906460428563E-3</v>
      </c>
      <c r="V80" s="127" t="s">
        <v>366</v>
      </c>
      <c r="W80" s="141"/>
      <c r="X80" s="142">
        <f t="shared" si="4"/>
        <v>2903.1800000000003</v>
      </c>
      <c r="Y80" s="141"/>
      <c r="Z80" s="142">
        <f t="shared" si="5"/>
        <v>2405.39</v>
      </c>
      <c r="AA80" s="141"/>
      <c r="AB80" s="142">
        <f t="shared" si="35"/>
        <v>497.79000000000042</v>
      </c>
      <c r="AC80" s="142"/>
      <c r="AD80" s="141">
        <f t="shared" si="36"/>
        <v>1.2069477298899556</v>
      </c>
      <c r="AE80" s="142"/>
      <c r="AF80" s="141">
        <f t="shared" si="8"/>
        <v>0.20694772988995558</v>
      </c>
    </row>
    <row r="81" spans="1:32" s="63" customFormat="1" ht="54.95" customHeight="1" x14ac:dyDescent="0.85">
      <c r="A81" s="126" t="s">
        <v>255</v>
      </c>
      <c r="B81" s="139">
        <f>CNT!N225</f>
        <v>3755.83</v>
      </c>
      <c r="C81" s="139">
        <v>0</v>
      </c>
      <c r="D81" s="139">
        <v>0</v>
      </c>
      <c r="E81" s="139">
        <v>0</v>
      </c>
      <c r="F81" s="139">
        <f>'BSC (Dome)'!I65</f>
        <v>975.56000000000006</v>
      </c>
      <c r="G81" s="139">
        <v>0</v>
      </c>
      <c r="H81" s="139">
        <v>0</v>
      </c>
      <c r="I81" s="139">
        <f t="shared" si="32"/>
        <v>4731.3900000000003</v>
      </c>
      <c r="J81" s="140">
        <f t="shared" si="33"/>
        <v>6.9008088814067666E-3</v>
      </c>
      <c r="K81" s="140"/>
      <c r="L81" s="127" t="s">
        <v>255</v>
      </c>
      <c r="M81" s="139">
        <v>5299.88</v>
      </c>
      <c r="N81" s="139">
        <v>0</v>
      </c>
      <c r="O81" s="139">
        <v>0</v>
      </c>
      <c r="P81" s="139">
        <v>0</v>
      </c>
      <c r="Q81" s="139">
        <f>2298.5+27.56</f>
        <v>2326.06</v>
      </c>
      <c r="R81" s="139">
        <v>0</v>
      </c>
      <c r="S81" s="139">
        <v>0</v>
      </c>
      <c r="T81" s="139">
        <f t="shared" si="2"/>
        <v>7625.9400000000005</v>
      </c>
      <c r="U81" s="141">
        <f t="shared" si="34"/>
        <v>1.2293021513053627E-2</v>
      </c>
      <c r="V81" s="127" t="s">
        <v>255</v>
      </c>
      <c r="W81" s="141"/>
      <c r="X81" s="142">
        <f t="shared" ref="X81:X116" si="37">I81</f>
        <v>4731.3900000000003</v>
      </c>
      <c r="Y81" s="141"/>
      <c r="Z81" s="142">
        <f t="shared" ref="Z81:Z116" si="38">T81</f>
        <v>7625.9400000000005</v>
      </c>
      <c r="AA81" s="141"/>
      <c r="AB81" s="142">
        <f t="shared" si="35"/>
        <v>-2894.55</v>
      </c>
      <c r="AC81" s="142"/>
      <c r="AD81" s="141">
        <f t="shared" si="36"/>
        <v>0.62043367768432478</v>
      </c>
      <c r="AE81" s="142"/>
      <c r="AF81" s="141">
        <f t="shared" si="8"/>
        <v>-0.37956632231567522</v>
      </c>
    </row>
    <row r="82" spans="1:32" s="63" customFormat="1" ht="54.95" customHeight="1" x14ac:dyDescent="0.85">
      <c r="A82" s="126" t="s">
        <v>363</v>
      </c>
      <c r="B82" s="139">
        <f>CNT!N243</f>
        <v>202857.14</v>
      </c>
      <c r="C82" s="139">
        <f>BPM!I48</f>
        <v>19000</v>
      </c>
      <c r="D82" s="139">
        <f>DEP!I61</f>
        <v>33000</v>
      </c>
      <c r="E82" s="139">
        <f>-Lending!I17</f>
        <v>654.17000000000007</v>
      </c>
      <c r="F82" s="139">
        <f>'BSC (Dome)'!I66</f>
        <v>3500</v>
      </c>
      <c r="G82" s="139">
        <f>'Oliari Co.'!I15</f>
        <v>2120</v>
      </c>
      <c r="H82" s="139">
        <v>0</v>
      </c>
      <c r="I82" s="139">
        <f t="shared" si="32"/>
        <v>261131.31000000003</v>
      </c>
      <c r="J82" s="140">
        <f t="shared" si="33"/>
        <v>0.38086424143040071</v>
      </c>
      <c r="K82" s="140"/>
      <c r="L82" s="127" t="s">
        <v>363</v>
      </c>
      <c r="M82" s="139">
        <v>237587.17</v>
      </c>
      <c r="N82" s="139">
        <v>40194.93</v>
      </c>
      <c r="O82" s="139">
        <v>51194.34</v>
      </c>
      <c r="P82" s="139">
        <v>0</v>
      </c>
      <c r="Q82" s="139">
        <v>12614.55</v>
      </c>
      <c r="R82" s="139">
        <v>2300</v>
      </c>
      <c r="S82" s="139">
        <v>1825</v>
      </c>
      <c r="T82" s="139">
        <f t="shared" si="2"/>
        <v>345715.99000000005</v>
      </c>
      <c r="U82" s="141">
        <f t="shared" si="34"/>
        <v>0.55729445845058223</v>
      </c>
      <c r="V82" s="127" t="s">
        <v>363</v>
      </c>
      <c r="W82" s="141"/>
      <c r="X82" s="142">
        <f t="shared" si="37"/>
        <v>261131.31000000003</v>
      </c>
      <c r="Y82" s="141"/>
      <c r="Z82" s="142">
        <f t="shared" si="38"/>
        <v>345715.99000000005</v>
      </c>
      <c r="AA82" s="141"/>
      <c r="AB82" s="142">
        <f t="shared" si="35"/>
        <v>-84584.680000000022</v>
      </c>
      <c r="AC82" s="142"/>
      <c r="AD82" s="141">
        <f t="shared" si="36"/>
        <v>0.75533477638682545</v>
      </c>
      <c r="AE82" s="142"/>
      <c r="AF82" s="141">
        <f t="shared" si="8"/>
        <v>-0.24466522361317455</v>
      </c>
    </row>
    <row r="83" spans="1:32" s="63" customFormat="1" ht="54.95" customHeight="1" x14ac:dyDescent="0.85">
      <c r="A83" s="126" t="s">
        <v>364</v>
      </c>
      <c r="B83" s="139">
        <f>CNT!N244</f>
        <v>53000</v>
      </c>
      <c r="C83" s="139">
        <f>BPM!I49</f>
        <v>26250</v>
      </c>
      <c r="D83" s="139">
        <f>DEP!I62</f>
        <v>15750</v>
      </c>
      <c r="E83" s="139">
        <v>0</v>
      </c>
      <c r="F83" s="139">
        <f>'BSC (Dome)'!I67</f>
        <v>10500</v>
      </c>
      <c r="G83" s="139">
        <v>0</v>
      </c>
      <c r="H83" s="139">
        <v>0</v>
      </c>
      <c r="I83" s="139">
        <f t="shared" si="32"/>
        <v>105500</v>
      </c>
      <c r="J83" s="140">
        <f t="shared" si="33"/>
        <v>0.15387345726909299</v>
      </c>
      <c r="K83" s="140"/>
      <c r="L83" s="127" t="s">
        <v>364</v>
      </c>
      <c r="M83" s="139">
        <v>0</v>
      </c>
      <c r="N83" s="139">
        <v>0</v>
      </c>
      <c r="O83" s="139">
        <v>0</v>
      </c>
      <c r="P83" s="139">
        <v>0</v>
      </c>
      <c r="Q83" s="139">
        <v>7017.06</v>
      </c>
      <c r="R83" s="139">
        <v>0</v>
      </c>
      <c r="S83" s="139">
        <v>0</v>
      </c>
      <c r="T83" s="139">
        <f>SUM(M83:S83)</f>
        <v>7017.06</v>
      </c>
      <c r="U83" s="141">
        <f t="shared" si="34"/>
        <v>1.1311506455386233E-2</v>
      </c>
      <c r="V83" s="127" t="s">
        <v>364</v>
      </c>
      <c r="W83" s="141"/>
      <c r="X83" s="142">
        <f t="shared" si="37"/>
        <v>105500</v>
      </c>
      <c r="Y83" s="141"/>
      <c r="Z83" s="142">
        <f t="shared" si="38"/>
        <v>7017.06</v>
      </c>
      <c r="AA83" s="141"/>
      <c r="AB83" s="142">
        <f t="shared" si="35"/>
        <v>98482.94</v>
      </c>
      <c r="AC83" s="142"/>
      <c r="AD83" s="141">
        <f t="shared" si="36"/>
        <v>15.034786648539416</v>
      </c>
      <c r="AE83" s="142"/>
      <c r="AF83" s="141">
        <f t="shared" si="8"/>
        <v>14.034786648539416</v>
      </c>
    </row>
    <row r="84" spans="1:32" s="63" customFormat="1" ht="54.95" customHeight="1" x14ac:dyDescent="0.85">
      <c r="A84" s="126" t="s">
        <v>365</v>
      </c>
      <c r="B84" s="139">
        <f>CNT!N242</f>
        <v>34939.5</v>
      </c>
      <c r="C84" s="139">
        <v>0</v>
      </c>
      <c r="D84" s="139">
        <f>DEP!I60</f>
        <v>-5776.56</v>
      </c>
      <c r="E84" s="139">
        <f>-Lending!I16</f>
        <v>3750</v>
      </c>
      <c r="F84" s="139">
        <v>0</v>
      </c>
      <c r="G84" s="139">
        <v>0</v>
      </c>
      <c r="H84" s="139">
        <v>0</v>
      </c>
      <c r="I84" s="139">
        <f t="shared" si="32"/>
        <v>32912.94</v>
      </c>
      <c r="J84" s="140">
        <f t="shared" si="33"/>
        <v>4.8004055608438116E-2</v>
      </c>
      <c r="K84" s="140"/>
      <c r="L84" s="127" t="s">
        <v>365</v>
      </c>
      <c r="M84" s="139">
        <v>0</v>
      </c>
      <c r="N84" s="139">
        <v>0</v>
      </c>
      <c r="O84" s="139">
        <v>0</v>
      </c>
      <c r="P84" s="139">
        <v>2731.25</v>
      </c>
      <c r="Q84" s="139">
        <v>0</v>
      </c>
      <c r="R84" s="139">
        <v>11520</v>
      </c>
      <c r="S84" s="139">
        <v>0</v>
      </c>
      <c r="T84" s="139">
        <f>SUM(M84:S84)</f>
        <v>14251.25</v>
      </c>
      <c r="U84" s="141">
        <f t="shared" si="34"/>
        <v>2.2973026648243428E-2</v>
      </c>
      <c r="V84" s="127" t="s">
        <v>365</v>
      </c>
      <c r="W84" s="141"/>
      <c r="X84" s="142">
        <f t="shared" si="37"/>
        <v>32912.94</v>
      </c>
      <c r="Y84" s="141"/>
      <c r="Z84" s="142">
        <f t="shared" si="38"/>
        <v>14251.25</v>
      </c>
      <c r="AA84" s="141"/>
      <c r="AB84" s="142">
        <f t="shared" si="35"/>
        <v>18661.690000000002</v>
      </c>
      <c r="AC84" s="142"/>
      <c r="AD84" s="154">
        <v>0</v>
      </c>
      <c r="AE84" s="142"/>
      <c r="AF84" s="141">
        <f t="shared" si="8"/>
        <v>-1</v>
      </c>
    </row>
    <row r="85" spans="1:32" s="63" customFormat="1" ht="54.95" customHeight="1" x14ac:dyDescent="0.85">
      <c r="A85" s="126" t="s">
        <v>404</v>
      </c>
      <c r="B85" s="139">
        <f>CNT!N245</f>
        <v>29475</v>
      </c>
      <c r="C85" s="139">
        <v>0</v>
      </c>
      <c r="D85" s="139"/>
      <c r="E85" s="139">
        <v>0</v>
      </c>
      <c r="F85" s="139">
        <v>0</v>
      </c>
      <c r="G85" s="139">
        <v>0</v>
      </c>
      <c r="H85" s="139">
        <v>0</v>
      </c>
      <c r="I85" s="139">
        <f t="shared" si="32"/>
        <v>29475</v>
      </c>
      <c r="J85" s="140">
        <f t="shared" si="33"/>
        <v>4.298976448347408E-2</v>
      </c>
      <c r="K85" s="140"/>
      <c r="L85" s="127" t="s">
        <v>404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f>SUM(M85:S85)</f>
        <v>0</v>
      </c>
      <c r="U85" s="141">
        <f t="shared" si="34"/>
        <v>0</v>
      </c>
      <c r="V85" s="127" t="s">
        <v>404</v>
      </c>
      <c r="W85" s="141"/>
      <c r="X85" s="142">
        <f t="shared" si="37"/>
        <v>29475</v>
      </c>
      <c r="Y85" s="141"/>
      <c r="Z85" s="142">
        <f t="shared" si="38"/>
        <v>0</v>
      </c>
      <c r="AA85" s="141"/>
      <c r="AB85" s="142">
        <f>I85-T85</f>
        <v>29475</v>
      </c>
      <c r="AC85" s="142"/>
      <c r="AD85" s="154">
        <v>0</v>
      </c>
      <c r="AE85" s="142"/>
      <c r="AF85" s="141">
        <f t="shared" si="8"/>
        <v>-1</v>
      </c>
    </row>
    <row r="86" spans="1:32" s="63" customFormat="1" ht="54.95" customHeight="1" x14ac:dyDescent="0.85">
      <c r="A86" s="126" t="s">
        <v>393</v>
      </c>
      <c r="B86" s="139">
        <v>0</v>
      </c>
      <c r="C86" s="139">
        <v>0</v>
      </c>
      <c r="D86" s="139">
        <f>DEP!I63</f>
        <v>5291.6799999999994</v>
      </c>
      <c r="E86" s="139">
        <v>0</v>
      </c>
      <c r="F86" s="139">
        <v>0</v>
      </c>
      <c r="G86" s="139">
        <v>0</v>
      </c>
      <c r="H86" s="139">
        <v>0</v>
      </c>
      <c r="I86" s="139">
        <f t="shared" si="32"/>
        <v>5291.6799999999994</v>
      </c>
      <c r="J86" s="140">
        <f t="shared" si="33"/>
        <v>7.7180009133811737E-3</v>
      </c>
      <c r="K86" s="140"/>
      <c r="L86" s="127" t="s">
        <v>393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f>SUM(M86:S86)</f>
        <v>0</v>
      </c>
      <c r="U86" s="141">
        <f t="shared" si="34"/>
        <v>0</v>
      </c>
      <c r="V86" s="127" t="s">
        <v>393</v>
      </c>
      <c r="W86" s="141"/>
      <c r="X86" s="142">
        <f t="shared" si="37"/>
        <v>5291.6799999999994</v>
      </c>
      <c r="Y86" s="141"/>
      <c r="Z86" s="142">
        <f t="shared" si="38"/>
        <v>0</v>
      </c>
      <c r="AA86" s="141"/>
      <c r="AB86" s="142">
        <f t="shared" si="35"/>
        <v>5291.6799999999994</v>
      </c>
      <c r="AC86" s="142"/>
      <c r="AD86" s="154">
        <v>0</v>
      </c>
      <c r="AE86" s="142"/>
      <c r="AF86" s="141">
        <f t="shared" si="8"/>
        <v>-1</v>
      </c>
    </row>
    <row r="87" spans="1:32" s="63" customFormat="1" ht="54.95" customHeight="1" x14ac:dyDescent="0.85">
      <c r="A87" s="126" t="s">
        <v>257</v>
      </c>
      <c r="B87" s="139">
        <f>CNT!N229+CNT!N247</f>
        <v>31499.520000000004</v>
      </c>
      <c r="C87" s="139">
        <v>0</v>
      </c>
      <c r="D87" s="139">
        <f>DEP!I59</f>
        <v>5250</v>
      </c>
      <c r="E87" s="139">
        <v>0</v>
      </c>
      <c r="F87" s="139">
        <f>'BSC (Dome)'!I63:I63</f>
        <v>1062.4799999999998</v>
      </c>
      <c r="G87" s="139">
        <v>0</v>
      </c>
      <c r="H87" s="139">
        <v>0</v>
      </c>
      <c r="I87" s="139">
        <f t="shared" si="32"/>
        <v>37812.000000000007</v>
      </c>
      <c r="J87" s="140">
        <f t="shared" si="33"/>
        <v>5.5149413898189052E-2</v>
      </c>
      <c r="K87" s="140"/>
      <c r="L87" s="127" t="s">
        <v>257</v>
      </c>
      <c r="M87" s="139">
        <v>2562.1999999999998</v>
      </c>
      <c r="N87" s="139">
        <v>0</v>
      </c>
      <c r="O87" s="139">
        <v>0</v>
      </c>
      <c r="P87" s="139">
        <v>0</v>
      </c>
      <c r="Q87" s="139">
        <v>2566.94</v>
      </c>
      <c r="R87" s="139">
        <v>0</v>
      </c>
      <c r="S87" s="139">
        <v>0</v>
      </c>
      <c r="T87" s="139">
        <f t="shared" si="2"/>
        <v>5129.1399999999994</v>
      </c>
      <c r="U87" s="141">
        <f t="shared" si="34"/>
        <v>8.2681778722969064E-3</v>
      </c>
      <c r="V87" s="127" t="s">
        <v>257</v>
      </c>
      <c r="W87" s="141"/>
      <c r="X87" s="142">
        <f t="shared" si="37"/>
        <v>37812.000000000007</v>
      </c>
      <c r="Y87" s="141"/>
      <c r="Z87" s="142">
        <f t="shared" si="38"/>
        <v>5129.1399999999994</v>
      </c>
      <c r="AA87" s="141"/>
      <c r="AB87" s="142">
        <f t="shared" si="35"/>
        <v>32682.860000000008</v>
      </c>
      <c r="AC87" s="142"/>
      <c r="AD87" s="141">
        <f t="shared" si="36"/>
        <v>7.3719960851136861</v>
      </c>
      <c r="AE87" s="142"/>
      <c r="AF87" s="141">
        <f t="shared" si="8"/>
        <v>6.3719960851136861</v>
      </c>
    </row>
    <row r="88" spans="1:32" s="63" customFormat="1" ht="54.95" customHeight="1" x14ac:dyDescent="0.85">
      <c r="A88" s="126" t="s">
        <v>258</v>
      </c>
      <c r="B88" s="139">
        <f>CNT!N233</f>
        <v>23553.399999999998</v>
      </c>
      <c r="C88" s="139">
        <f>BPM!I46</f>
        <v>687.49</v>
      </c>
      <c r="D88" s="139">
        <f>DEP!I65</f>
        <v>1227.5</v>
      </c>
      <c r="E88" s="139">
        <v>0</v>
      </c>
      <c r="F88" s="139">
        <f>'BSC (Dome)'!I69</f>
        <v>642</v>
      </c>
      <c r="G88" s="139">
        <v>0</v>
      </c>
      <c r="H88" s="139">
        <v>0</v>
      </c>
      <c r="I88" s="139">
        <f t="shared" si="32"/>
        <v>26110.39</v>
      </c>
      <c r="J88" s="140">
        <f t="shared" si="33"/>
        <v>3.8082426350183433E-2</v>
      </c>
      <c r="K88" s="140"/>
      <c r="L88" s="127" t="s">
        <v>258</v>
      </c>
      <c r="M88" s="139">
        <v>26088.07</v>
      </c>
      <c r="N88" s="139">
        <v>900.75</v>
      </c>
      <c r="O88" s="139">
        <v>1887.75</v>
      </c>
      <c r="P88" s="139">
        <v>0</v>
      </c>
      <c r="Q88" s="139">
        <v>623</v>
      </c>
      <c r="R88" s="139">
        <v>0</v>
      </c>
      <c r="S88" s="139">
        <v>0</v>
      </c>
      <c r="T88" s="139">
        <f t="shared" si="2"/>
        <v>29499.57</v>
      </c>
      <c r="U88" s="141">
        <f t="shared" si="34"/>
        <v>4.7553330951440917E-2</v>
      </c>
      <c r="V88" s="127" t="s">
        <v>258</v>
      </c>
      <c r="W88" s="141"/>
      <c r="X88" s="142">
        <f t="shared" si="37"/>
        <v>26110.39</v>
      </c>
      <c r="Y88" s="141"/>
      <c r="Z88" s="142">
        <f t="shared" si="38"/>
        <v>29499.57</v>
      </c>
      <c r="AA88" s="141"/>
      <c r="AB88" s="142">
        <f t="shared" si="35"/>
        <v>-3389.1800000000003</v>
      </c>
      <c r="AC88" s="142"/>
      <c r="AD88" s="141">
        <f t="shared" si="36"/>
        <v>0.88511086771773284</v>
      </c>
      <c r="AE88" s="142"/>
      <c r="AF88" s="141">
        <f t="shared" si="8"/>
        <v>-0.11488913228226716</v>
      </c>
    </row>
    <row r="89" spans="1:32" s="63" customFormat="1" ht="54.95" customHeight="1" x14ac:dyDescent="0.85">
      <c r="A89" s="126" t="s">
        <v>259</v>
      </c>
      <c r="B89" s="139">
        <f>CNT!N234</f>
        <v>19205.57</v>
      </c>
      <c r="C89" s="139">
        <f>0</f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f t="shared" si="32"/>
        <v>19205.57</v>
      </c>
      <c r="J89" s="140">
        <f t="shared" si="33"/>
        <v>2.8011634641929611E-2</v>
      </c>
      <c r="K89" s="140"/>
      <c r="L89" s="127" t="s">
        <v>259</v>
      </c>
      <c r="M89" s="139">
        <v>16940.57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f t="shared" si="2"/>
        <v>16940.57</v>
      </c>
      <c r="U89" s="141">
        <f t="shared" si="34"/>
        <v>2.7308212686356158E-2</v>
      </c>
      <c r="V89" s="127" t="s">
        <v>259</v>
      </c>
      <c r="W89" s="141"/>
      <c r="X89" s="142">
        <f t="shared" si="37"/>
        <v>19205.57</v>
      </c>
      <c r="Y89" s="141"/>
      <c r="Z89" s="142">
        <f t="shared" si="38"/>
        <v>16940.57</v>
      </c>
      <c r="AA89" s="141"/>
      <c r="AB89" s="142">
        <f t="shared" si="35"/>
        <v>2265</v>
      </c>
      <c r="AC89" s="142"/>
      <c r="AD89" s="154">
        <v>0</v>
      </c>
      <c r="AE89" s="142"/>
      <c r="AF89" s="141">
        <f t="shared" si="8"/>
        <v>-1</v>
      </c>
    </row>
    <row r="90" spans="1:32" s="63" customFormat="1" ht="54.95" customHeight="1" x14ac:dyDescent="0.85">
      <c r="A90" s="126" t="s">
        <v>296</v>
      </c>
      <c r="B90" s="139">
        <v>0</v>
      </c>
      <c r="C90" s="139">
        <f>0</f>
        <v>0</v>
      </c>
      <c r="D90" s="139">
        <f>DEP!I58</f>
        <v>300</v>
      </c>
      <c r="E90" s="139">
        <v>0</v>
      </c>
      <c r="F90" s="139">
        <f>'BSC (Dome)'!I62</f>
        <v>2600</v>
      </c>
      <c r="G90" s="139">
        <v>0</v>
      </c>
      <c r="H90" s="139">
        <v>0</v>
      </c>
      <c r="I90" s="139">
        <f t="shared" si="32"/>
        <v>2900</v>
      </c>
      <c r="J90" s="140">
        <f t="shared" si="33"/>
        <v>4.22969692967175E-3</v>
      </c>
      <c r="K90" s="140"/>
      <c r="L90" s="127" t="s">
        <v>296</v>
      </c>
      <c r="M90" s="139">
        <v>0</v>
      </c>
      <c r="N90" s="139">
        <v>0</v>
      </c>
      <c r="O90" s="139">
        <v>0</v>
      </c>
      <c r="P90" s="139">
        <v>0</v>
      </c>
      <c r="Q90" s="139">
        <v>850</v>
      </c>
      <c r="R90" s="139">
        <v>0</v>
      </c>
      <c r="S90" s="139">
        <v>0</v>
      </c>
      <c r="T90" s="139">
        <f>SUM(M90:S90)</f>
        <v>850</v>
      </c>
      <c r="U90" s="141">
        <f t="shared" si="34"/>
        <v>1.37020069474656E-3</v>
      </c>
      <c r="V90" s="127" t="s">
        <v>296</v>
      </c>
      <c r="W90" s="141"/>
      <c r="X90" s="142">
        <f t="shared" si="37"/>
        <v>2900</v>
      </c>
      <c r="Y90" s="141"/>
      <c r="Z90" s="142">
        <f t="shared" si="38"/>
        <v>850</v>
      </c>
      <c r="AA90" s="141"/>
      <c r="AB90" s="142">
        <f t="shared" si="35"/>
        <v>2050</v>
      </c>
      <c r="AC90" s="142"/>
      <c r="AD90" s="154">
        <v>0</v>
      </c>
      <c r="AE90" s="142"/>
      <c r="AF90" s="155">
        <v>0</v>
      </c>
    </row>
    <row r="91" spans="1:32" s="63" customFormat="1" ht="54.95" customHeight="1" x14ac:dyDescent="0.85">
      <c r="A91" s="126" t="s">
        <v>379</v>
      </c>
      <c r="B91" s="139">
        <f>CNT!N230</f>
        <v>234.03</v>
      </c>
      <c r="C91" s="139">
        <v>0</v>
      </c>
      <c r="D91" s="139">
        <v>0</v>
      </c>
      <c r="E91" s="139">
        <v>0</v>
      </c>
      <c r="F91" s="139">
        <f>'BSC (Dome)'!I64</f>
        <v>10329.9</v>
      </c>
      <c r="G91" s="139">
        <v>0</v>
      </c>
      <c r="H91" s="139">
        <v>0</v>
      </c>
      <c r="I91" s="139">
        <f t="shared" si="32"/>
        <v>10563.93</v>
      </c>
      <c r="J91" s="140">
        <f t="shared" si="33"/>
        <v>1.5407662857333549E-2</v>
      </c>
      <c r="K91" s="140"/>
      <c r="L91" s="127" t="s">
        <v>379</v>
      </c>
      <c r="M91" s="139">
        <v>696.89</v>
      </c>
      <c r="N91" s="139">
        <v>0</v>
      </c>
      <c r="O91" s="139">
        <v>0</v>
      </c>
      <c r="P91" s="139">
        <v>0</v>
      </c>
      <c r="Q91" s="139">
        <v>6832.94</v>
      </c>
      <c r="R91" s="139">
        <v>0</v>
      </c>
      <c r="S91" s="139">
        <v>0</v>
      </c>
      <c r="T91" s="139">
        <f>SUM(M91:S91)</f>
        <v>7529.83</v>
      </c>
      <c r="U91" s="141">
        <f t="shared" si="34"/>
        <v>1.2138092114498225E-2</v>
      </c>
      <c r="V91" s="127" t="s">
        <v>379</v>
      </c>
      <c r="W91" s="141"/>
      <c r="X91" s="142">
        <f t="shared" si="37"/>
        <v>10563.93</v>
      </c>
      <c r="Y91" s="141"/>
      <c r="Z91" s="142">
        <f t="shared" si="38"/>
        <v>7529.83</v>
      </c>
      <c r="AA91" s="141"/>
      <c r="AB91" s="142">
        <f t="shared" si="35"/>
        <v>3034.1000000000004</v>
      </c>
      <c r="AC91" s="142"/>
      <c r="AD91" s="141">
        <f t="shared" si="36"/>
        <v>1.4029440239686686</v>
      </c>
      <c r="AE91" s="142"/>
      <c r="AF91" s="155">
        <v>0</v>
      </c>
    </row>
    <row r="92" spans="1:32" s="63" customFormat="1" ht="54.95" customHeight="1" x14ac:dyDescent="0.85">
      <c r="A92" s="126" t="s">
        <v>260</v>
      </c>
      <c r="B92" s="139">
        <f>CNT!N236</f>
        <v>18453.309999999998</v>
      </c>
      <c r="C92" s="139">
        <f>0</f>
        <v>0</v>
      </c>
      <c r="D92" s="139">
        <f>0</f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f t="shared" si="32"/>
        <v>18453.309999999998</v>
      </c>
      <c r="J92" s="140">
        <f t="shared" si="33"/>
        <v>2.6914451258372756E-2</v>
      </c>
      <c r="K92" s="140"/>
      <c r="L92" s="127" t="s">
        <v>260</v>
      </c>
      <c r="M92" s="139">
        <v>70000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f t="shared" si="2"/>
        <v>70000</v>
      </c>
      <c r="U92" s="141">
        <f t="shared" si="34"/>
        <v>0.1128400572144226</v>
      </c>
      <c r="V92" s="127" t="s">
        <v>260</v>
      </c>
      <c r="W92" s="141"/>
      <c r="X92" s="142">
        <f t="shared" si="37"/>
        <v>18453.309999999998</v>
      </c>
      <c r="Y92" s="141"/>
      <c r="Z92" s="142">
        <f t="shared" si="38"/>
        <v>70000</v>
      </c>
      <c r="AA92" s="141"/>
      <c r="AB92" s="142">
        <f t="shared" si="35"/>
        <v>-51546.69</v>
      </c>
      <c r="AC92" s="142"/>
      <c r="AD92" s="154">
        <v>0</v>
      </c>
      <c r="AE92" s="142"/>
      <c r="AF92" s="141">
        <f>AD92-1</f>
        <v>-1</v>
      </c>
    </row>
    <row r="93" spans="1:32" s="63" customFormat="1" ht="54.95" customHeight="1" x14ac:dyDescent="0.85">
      <c r="A93" s="126" t="s">
        <v>261</v>
      </c>
      <c r="B93" s="139">
        <f>CNT!N237+CNT!G248</f>
        <v>14063.45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f t="shared" si="32"/>
        <v>14063.45</v>
      </c>
      <c r="J93" s="140">
        <f t="shared" si="33"/>
        <v>2.051176940882489E-2</v>
      </c>
      <c r="K93" s="140"/>
      <c r="L93" s="127" t="s">
        <v>261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f t="shared" si="2"/>
        <v>0</v>
      </c>
      <c r="U93" s="141">
        <f t="shared" si="34"/>
        <v>0</v>
      </c>
      <c r="V93" s="127" t="s">
        <v>261</v>
      </c>
      <c r="W93" s="141"/>
      <c r="X93" s="142">
        <f t="shared" si="37"/>
        <v>14063.45</v>
      </c>
      <c r="Y93" s="141"/>
      <c r="Z93" s="142">
        <f t="shared" si="38"/>
        <v>0</v>
      </c>
      <c r="AA93" s="141"/>
      <c r="AB93" s="142">
        <f t="shared" si="35"/>
        <v>14063.45</v>
      </c>
      <c r="AC93" s="142"/>
      <c r="AD93" s="154">
        <v>0</v>
      </c>
      <c r="AE93" s="142"/>
      <c r="AF93" s="155">
        <v>0</v>
      </c>
    </row>
    <row r="94" spans="1:32" s="63" customFormat="1" ht="54.95" customHeight="1" x14ac:dyDescent="0.85">
      <c r="A94" s="126" t="s">
        <v>262</v>
      </c>
      <c r="B94" s="139">
        <f>CNT!N238</f>
        <v>2773.46</v>
      </c>
      <c r="C94" s="139">
        <v>0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f t="shared" si="32"/>
        <v>2773.46</v>
      </c>
      <c r="J94" s="140">
        <f t="shared" si="33"/>
        <v>4.0451362919197978E-3</v>
      </c>
      <c r="K94" s="140"/>
      <c r="L94" s="127" t="s">
        <v>262</v>
      </c>
      <c r="M94" s="139">
        <v>9821.86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f>SUM(M94:S94)</f>
        <v>9821.86</v>
      </c>
      <c r="U94" s="141">
        <f t="shared" si="34"/>
        <v>1.5832846347886412E-2</v>
      </c>
      <c r="V94" s="127" t="s">
        <v>262</v>
      </c>
      <c r="W94" s="141"/>
      <c r="X94" s="142">
        <f t="shared" si="37"/>
        <v>2773.46</v>
      </c>
      <c r="Y94" s="141"/>
      <c r="Z94" s="142">
        <f t="shared" si="38"/>
        <v>9821.86</v>
      </c>
      <c r="AA94" s="141"/>
      <c r="AB94" s="142">
        <f t="shared" si="35"/>
        <v>-7048.4000000000005</v>
      </c>
      <c r="AC94" s="142"/>
      <c r="AD94" s="154">
        <v>0</v>
      </c>
      <c r="AE94" s="142"/>
      <c r="AF94" s="141">
        <f>AD94-1</f>
        <v>-1</v>
      </c>
    </row>
    <row r="95" spans="1:32" s="63" customFormat="1" ht="54.95" customHeight="1" x14ac:dyDescent="0.85">
      <c r="A95" s="126" t="s">
        <v>263</v>
      </c>
      <c r="B95" s="139">
        <f>CNT!N239</f>
        <v>14181.27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f t="shared" si="32"/>
        <v>14181.27</v>
      </c>
      <c r="J95" s="140">
        <f t="shared" si="33"/>
        <v>2.0683611785464174E-2</v>
      </c>
      <c r="K95" s="140"/>
      <c r="L95" s="127" t="s">
        <v>263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f>SUM(M95:S95)</f>
        <v>0</v>
      </c>
      <c r="U95" s="141">
        <f t="shared" si="34"/>
        <v>0</v>
      </c>
      <c r="V95" s="127" t="s">
        <v>263</v>
      </c>
      <c r="W95" s="141"/>
      <c r="X95" s="142">
        <f t="shared" si="37"/>
        <v>14181.27</v>
      </c>
      <c r="Y95" s="141"/>
      <c r="Z95" s="142">
        <f t="shared" si="38"/>
        <v>0</v>
      </c>
      <c r="AA95" s="141"/>
      <c r="AB95" s="142">
        <f>I95-T95</f>
        <v>14181.27</v>
      </c>
      <c r="AC95" s="142"/>
      <c r="AD95" s="143">
        <v>0</v>
      </c>
      <c r="AE95" s="142"/>
      <c r="AF95" s="155">
        <v>0</v>
      </c>
    </row>
    <row r="96" spans="1:32" s="63" customFormat="1" ht="54.95" customHeight="1" x14ac:dyDescent="0.85">
      <c r="A96" s="137" t="s">
        <v>265</v>
      </c>
      <c r="B96" s="144">
        <f>SUM(B77:B95)</f>
        <v>527246.97000000009</v>
      </c>
      <c r="C96" s="144">
        <f t="shared" ref="C96:H96" si="39">SUM(C77:C95)</f>
        <v>51768.59</v>
      </c>
      <c r="D96" s="144">
        <f t="shared" si="39"/>
        <v>61251.6</v>
      </c>
      <c r="E96" s="144">
        <f t="shared" si="39"/>
        <v>5866.24</v>
      </c>
      <c r="F96" s="144">
        <f>SUM(F77:F95)</f>
        <v>36813.729999999996</v>
      </c>
      <c r="G96" s="144">
        <f t="shared" si="39"/>
        <v>2120</v>
      </c>
      <c r="H96" s="144">
        <f t="shared" si="39"/>
        <v>561.19000000000005</v>
      </c>
      <c r="I96" s="144">
        <f t="shared" si="32"/>
        <v>685628.32</v>
      </c>
      <c r="J96" s="145">
        <f>SUM(J77:J95)</f>
        <v>1</v>
      </c>
      <c r="K96" s="146"/>
      <c r="L96" s="138" t="s">
        <v>265</v>
      </c>
      <c r="M96" s="144">
        <f t="shared" ref="M96:S96" si="40">SUM(M77:M95)</f>
        <v>456698.59</v>
      </c>
      <c r="N96" s="144">
        <f t="shared" si="40"/>
        <v>45933.25</v>
      </c>
      <c r="O96" s="144">
        <f t="shared" si="40"/>
        <v>59558.239999999998</v>
      </c>
      <c r="P96" s="144">
        <f t="shared" si="40"/>
        <v>4043.58</v>
      </c>
      <c r="Q96" s="144">
        <f t="shared" si="40"/>
        <v>37921.050000000003</v>
      </c>
      <c r="R96" s="144">
        <f t="shared" si="40"/>
        <v>13874</v>
      </c>
      <c r="S96" s="144">
        <f t="shared" si="40"/>
        <v>2318.37</v>
      </c>
      <c r="T96" s="144">
        <f>SUM(M96:S96)</f>
        <v>620347.08000000007</v>
      </c>
      <c r="U96" s="147">
        <f>SUM(U77:U95)</f>
        <v>1</v>
      </c>
      <c r="V96" s="138" t="s">
        <v>265</v>
      </c>
      <c r="W96" s="148"/>
      <c r="X96" s="149">
        <f t="shared" si="37"/>
        <v>685628.32</v>
      </c>
      <c r="Y96" s="148"/>
      <c r="Z96" s="149">
        <f t="shared" si="38"/>
        <v>620347.08000000007</v>
      </c>
      <c r="AA96" s="148"/>
      <c r="AB96" s="149">
        <f>I96-T96</f>
        <v>65281.239999999874</v>
      </c>
      <c r="AC96" s="149"/>
      <c r="AD96" s="156">
        <f>I96/T96</f>
        <v>1.1052334122375491</v>
      </c>
      <c r="AE96" s="149"/>
      <c r="AF96" s="147">
        <f>AD96-1</f>
        <v>0.10523341223754912</v>
      </c>
    </row>
    <row r="97" spans="1:33" s="63" customFormat="1" ht="54.95" customHeight="1" x14ac:dyDescent="0.85">
      <c r="A97" s="126"/>
      <c r="B97" s="139"/>
      <c r="C97" s="139"/>
      <c r="D97" s="139"/>
      <c r="E97" s="139"/>
      <c r="F97" s="139"/>
      <c r="G97" s="139"/>
      <c r="H97" s="139"/>
      <c r="I97" s="139">
        <f t="shared" si="32"/>
        <v>0</v>
      </c>
      <c r="J97" s="127"/>
      <c r="K97" s="127"/>
      <c r="L97" s="127"/>
      <c r="M97" s="139"/>
      <c r="N97" s="139"/>
      <c r="O97" s="139"/>
      <c r="P97" s="139"/>
      <c r="Q97" s="139"/>
      <c r="R97" s="139"/>
      <c r="S97" s="139"/>
      <c r="T97" s="139">
        <f>SUM(M97:S97)</f>
        <v>0</v>
      </c>
      <c r="U97" s="126"/>
      <c r="V97" s="127"/>
      <c r="W97" s="126"/>
      <c r="X97" s="142"/>
      <c r="Y97" s="126"/>
      <c r="Z97" s="142">
        <f t="shared" si="38"/>
        <v>0</v>
      </c>
      <c r="AA97" s="126"/>
      <c r="AB97" s="142"/>
      <c r="AC97" s="142"/>
      <c r="AD97" s="150"/>
      <c r="AE97" s="142"/>
      <c r="AF97" s="141"/>
    </row>
    <row r="98" spans="1:33" s="63" customFormat="1" ht="54.95" customHeight="1" thickBot="1" x14ac:dyDescent="0.9">
      <c r="A98" s="137" t="s">
        <v>266</v>
      </c>
      <c r="B98" s="151">
        <f t="shared" ref="B98:H98" si="41">B49+B74+B96</f>
        <v>4746986.28</v>
      </c>
      <c r="C98" s="151">
        <f t="shared" si="41"/>
        <v>61481.719999999994</v>
      </c>
      <c r="D98" s="151">
        <f t="shared" si="41"/>
        <v>811785.37999999989</v>
      </c>
      <c r="E98" s="151">
        <f t="shared" si="41"/>
        <v>5975.24</v>
      </c>
      <c r="F98" s="151">
        <f t="shared" si="41"/>
        <v>479679.80999999994</v>
      </c>
      <c r="G98" s="151">
        <f>G49+G74+G96</f>
        <v>67398.890000000014</v>
      </c>
      <c r="H98" s="151">
        <f t="shared" si="41"/>
        <v>103983.75</v>
      </c>
      <c r="I98" s="151">
        <f t="shared" si="32"/>
        <v>6277291.0699999994</v>
      </c>
      <c r="J98" s="139">
        <f>SUM(I40:I48)+SUM(I52:I73)+SUM(I77:I95)-I98</f>
        <v>0</v>
      </c>
      <c r="K98" s="127"/>
      <c r="L98" s="138" t="s">
        <v>266</v>
      </c>
      <c r="M98" s="151">
        <f t="shared" ref="M98:S98" si="42">M49+M74+M96</f>
        <v>4394332.54</v>
      </c>
      <c r="N98" s="151">
        <f t="shared" si="42"/>
        <v>56868.39</v>
      </c>
      <c r="O98" s="151">
        <f t="shared" si="42"/>
        <v>606544.39999999991</v>
      </c>
      <c r="P98" s="151">
        <f t="shared" si="42"/>
        <v>4043.58</v>
      </c>
      <c r="Q98" s="151">
        <f t="shared" si="42"/>
        <v>492056.11</v>
      </c>
      <c r="R98" s="151">
        <f>R49+R74+R96</f>
        <v>47924.04</v>
      </c>
      <c r="S98" s="151">
        <f t="shared" si="42"/>
        <v>2838.37</v>
      </c>
      <c r="T98" s="151">
        <f>SUM(M98:S98)</f>
        <v>5604607.4300000006</v>
      </c>
      <c r="U98" s="142">
        <f>SUM(T40:T48)+SUM(T52:T73)+SUM(T77:T95)-T98</f>
        <v>0</v>
      </c>
      <c r="V98" s="138" t="s">
        <v>266</v>
      </c>
      <c r="W98" s="126"/>
      <c r="X98" s="152">
        <f t="shared" si="37"/>
        <v>6277291.0699999994</v>
      </c>
      <c r="Y98" s="126"/>
      <c r="Z98" s="152">
        <f t="shared" si="38"/>
        <v>5604607.4300000006</v>
      </c>
      <c r="AA98" s="126"/>
      <c r="AB98" s="152">
        <f>I98-T98</f>
        <v>672683.63999999873</v>
      </c>
      <c r="AC98" s="152"/>
      <c r="AD98" s="157">
        <f>I98/T98</f>
        <v>1.1200233287347297</v>
      </c>
      <c r="AE98" s="152"/>
      <c r="AF98" s="153">
        <v>0</v>
      </c>
    </row>
    <row r="99" spans="1:33" s="63" customFormat="1" ht="54.95" customHeight="1" x14ac:dyDescent="0.85">
      <c r="A99" s="126"/>
      <c r="B99" s="139"/>
      <c r="C99" s="139"/>
      <c r="D99" s="139"/>
      <c r="E99" s="139"/>
      <c r="F99" s="139"/>
      <c r="G99" s="139"/>
      <c r="H99" s="139"/>
      <c r="I99" s="139"/>
      <c r="J99" s="127"/>
      <c r="K99" s="127"/>
      <c r="L99" s="127"/>
      <c r="M99" s="139"/>
      <c r="N99" s="139"/>
      <c r="O99" s="139"/>
      <c r="P99" s="139"/>
      <c r="Q99" s="139"/>
      <c r="R99" s="139"/>
      <c r="S99" s="139"/>
      <c r="T99" s="139"/>
      <c r="U99" s="126"/>
      <c r="V99" s="127"/>
      <c r="W99" s="126"/>
      <c r="X99" s="128"/>
      <c r="Y99" s="126"/>
      <c r="Z99" s="128">
        <f t="shared" si="38"/>
        <v>0</v>
      </c>
      <c r="AA99" s="126"/>
      <c r="AB99" s="128"/>
      <c r="AC99" s="128"/>
      <c r="AD99" s="150"/>
      <c r="AE99" s="128"/>
      <c r="AF99" s="150"/>
    </row>
    <row r="100" spans="1:33" s="63" customFormat="1" ht="54.95" customHeight="1" x14ac:dyDescent="0.85">
      <c r="A100" s="137" t="s">
        <v>466</v>
      </c>
      <c r="B100" s="139"/>
      <c r="C100" s="139"/>
      <c r="D100" s="139"/>
      <c r="E100" s="139"/>
      <c r="F100" s="139"/>
      <c r="G100" s="139"/>
      <c r="H100" s="139"/>
      <c r="I100" s="139"/>
      <c r="J100" s="127"/>
      <c r="K100" s="127"/>
      <c r="L100" s="137" t="s">
        <v>466</v>
      </c>
      <c r="M100" s="139"/>
      <c r="N100" s="139"/>
      <c r="O100" s="139"/>
      <c r="P100" s="139"/>
      <c r="Q100" s="139"/>
      <c r="R100" s="139"/>
      <c r="S100" s="139"/>
      <c r="T100" s="139"/>
      <c r="U100" s="126"/>
      <c r="V100" s="137" t="s">
        <v>466</v>
      </c>
      <c r="W100" s="126"/>
      <c r="X100" s="128"/>
      <c r="Y100" s="126"/>
      <c r="Z100" s="128">
        <f t="shared" si="38"/>
        <v>0</v>
      </c>
      <c r="AA100" s="126"/>
      <c r="AB100" s="128"/>
      <c r="AC100" s="128"/>
      <c r="AD100" s="129"/>
      <c r="AE100" s="129"/>
      <c r="AF100" s="129"/>
      <c r="AG100" s="67"/>
    </row>
    <row r="101" spans="1:33" s="63" customFormat="1" ht="54.95" customHeight="1" x14ac:dyDescent="0.85">
      <c r="A101" s="126" t="s">
        <v>269</v>
      </c>
      <c r="B101" s="139">
        <f>CNT!N252</f>
        <v>87500</v>
      </c>
      <c r="C101" s="139">
        <v>0</v>
      </c>
      <c r="D101" s="139">
        <f>DEP!I71</f>
        <v>87500</v>
      </c>
      <c r="E101" s="139">
        <v>0</v>
      </c>
      <c r="F101" s="139">
        <f>'BSC (Dome)'!I75+'BSC (Dome)'!I76</f>
        <v>39000</v>
      </c>
      <c r="G101" s="139">
        <f>'Oliari Co.'!I21+'Oliari Co.'!I22</f>
        <v>123900</v>
      </c>
      <c r="H101" s="139">
        <f>'722 Bedford St'!I22</f>
        <v>25000</v>
      </c>
      <c r="I101" s="139">
        <f t="shared" ref="I101:I116" si="43">SUM(B101:H101)</f>
        <v>362900</v>
      </c>
      <c r="J101" s="140"/>
      <c r="K101" s="140"/>
      <c r="L101" s="127" t="s">
        <v>269</v>
      </c>
      <c r="M101" s="139">
        <v>0</v>
      </c>
      <c r="N101" s="139">
        <v>0</v>
      </c>
      <c r="O101" s="139">
        <v>0</v>
      </c>
      <c r="P101" s="139">
        <v>0</v>
      </c>
      <c r="Q101" s="139">
        <v>2200</v>
      </c>
      <c r="R101" s="139">
        <f>298900</f>
        <v>298900</v>
      </c>
      <c r="S101" s="139">
        <v>100000</v>
      </c>
      <c r="T101" s="139">
        <f>SUM(M101:S101)</f>
        <v>401100</v>
      </c>
      <c r="U101" s="141"/>
      <c r="V101" s="127" t="s">
        <v>269</v>
      </c>
      <c r="W101" s="141"/>
      <c r="X101" s="142">
        <f t="shared" si="37"/>
        <v>362900</v>
      </c>
      <c r="Y101" s="141"/>
      <c r="Z101" s="142">
        <f t="shared" si="38"/>
        <v>401100</v>
      </c>
      <c r="AA101" s="141"/>
      <c r="AB101" s="142">
        <f>I101-T101</f>
        <v>-38200</v>
      </c>
      <c r="AC101" s="142"/>
      <c r="AD101" s="129"/>
      <c r="AE101" s="129"/>
      <c r="AF101" s="129"/>
      <c r="AG101" s="67"/>
    </row>
    <row r="102" spans="1:33" s="63" customFormat="1" ht="54.95" customHeight="1" x14ac:dyDescent="0.85">
      <c r="A102" s="126" t="s">
        <v>270</v>
      </c>
      <c r="B102" s="139">
        <f>CNT!N253</f>
        <v>243313.75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f t="shared" si="43"/>
        <v>243313.75</v>
      </c>
      <c r="J102" s="140"/>
      <c r="K102" s="140"/>
      <c r="L102" s="127" t="s">
        <v>270</v>
      </c>
      <c r="M102" s="139">
        <v>240982.5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f>SUM(M102:S102)</f>
        <v>240982.5</v>
      </c>
      <c r="U102" s="141"/>
      <c r="V102" s="127" t="s">
        <v>270</v>
      </c>
      <c r="W102" s="141"/>
      <c r="X102" s="142">
        <f t="shared" si="37"/>
        <v>243313.75</v>
      </c>
      <c r="Y102" s="141"/>
      <c r="Z102" s="142">
        <f t="shared" si="38"/>
        <v>240982.5</v>
      </c>
      <c r="AA102" s="141"/>
      <c r="AB102" s="142">
        <f t="shared" ref="AB102:AB108" si="44">I102-T102</f>
        <v>2331.25</v>
      </c>
      <c r="AC102" s="142"/>
      <c r="AD102" s="129"/>
      <c r="AE102" s="129"/>
      <c r="AF102" s="129"/>
      <c r="AG102" s="67"/>
    </row>
    <row r="103" spans="1:33" s="63" customFormat="1" ht="54.95" customHeight="1" x14ac:dyDescent="0.85">
      <c r="A103" s="126" t="s">
        <v>328</v>
      </c>
      <c r="B103" s="139">
        <v>0</v>
      </c>
      <c r="C103" s="139">
        <f>-BPM!I54</f>
        <v>-243313.75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f t="shared" si="43"/>
        <v>-243313.75</v>
      </c>
      <c r="J103" s="140"/>
      <c r="K103" s="140"/>
      <c r="L103" s="127" t="s">
        <v>328</v>
      </c>
      <c r="M103" s="139">
        <v>0</v>
      </c>
      <c r="N103" s="139">
        <v>-240982.5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f>SUM(M103:S103)</f>
        <v>-240982.5</v>
      </c>
      <c r="U103" s="141"/>
      <c r="V103" s="127" t="s">
        <v>328</v>
      </c>
      <c r="W103" s="141"/>
      <c r="X103" s="142">
        <f t="shared" si="37"/>
        <v>-243313.75</v>
      </c>
      <c r="Y103" s="141"/>
      <c r="Z103" s="142">
        <f t="shared" si="38"/>
        <v>-240982.5</v>
      </c>
      <c r="AA103" s="141"/>
      <c r="AB103" s="142">
        <f t="shared" si="44"/>
        <v>-2331.25</v>
      </c>
      <c r="AC103" s="142"/>
      <c r="AD103" s="129"/>
      <c r="AE103" s="129"/>
      <c r="AF103" s="129"/>
      <c r="AG103" s="67"/>
    </row>
    <row r="104" spans="1:33" s="63" customFormat="1" ht="54.95" customHeight="1" x14ac:dyDescent="0.85">
      <c r="A104" s="126" t="s">
        <v>390</v>
      </c>
      <c r="B104" s="139">
        <f>CNT!N254</f>
        <v>42023.72</v>
      </c>
      <c r="C104" s="139">
        <f>-BPM!I55</f>
        <v>-42023.72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f t="shared" si="43"/>
        <v>0</v>
      </c>
      <c r="J104" s="140"/>
      <c r="K104" s="140"/>
      <c r="L104" s="127" t="s">
        <v>390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/>
      <c r="U104" s="141"/>
      <c r="V104" s="127" t="s">
        <v>390</v>
      </c>
      <c r="W104" s="141"/>
      <c r="X104" s="142">
        <f t="shared" si="37"/>
        <v>0</v>
      </c>
      <c r="Y104" s="141"/>
      <c r="Z104" s="142">
        <f t="shared" si="38"/>
        <v>0</v>
      </c>
      <c r="AA104" s="141"/>
      <c r="AB104" s="142">
        <f t="shared" si="44"/>
        <v>0</v>
      </c>
      <c r="AC104" s="142"/>
      <c r="AD104" s="129"/>
      <c r="AE104" s="129"/>
      <c r="AF104" s="129"/>
      <c r="AG104" s="67"/>
    </row>
    <row r="105" spans="1:33" s="63" customFormat="1" ht="54.95" customHeight="1" x14ac:dyDescent="0.85">
      <c r="A105" s="126" t="s">
        <v>271</v>
      </c>
      <c r="B105" s="139">
        <f>CNT!N255</f>
        <v>116572.66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f t="shared" si="43"/>
        <v>116572.66</v>
      </c>
      <c r="J105" s="140"/>
      <c r="K105" s="140"/>
      <c r="L105" s="127" t="s">
        <v>271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f t="shared" ref="T105:T116" si="45">SUM(M105:S105)</f>
        <v>0</v>
      </c>
      <c r="U105" s="141"/>
      <c r="V105" s="127" t="s">
        <v>271</v>
      </c>
      <c r="W105" s="141"/>
      <c r="X105" s="142">
        <f t="shared" si="37"/>
        <v>116572.66</v>
      </c>
      <c r="Y105" s="141"/>
      <c r="Z105" s="142">
        <f t="shared" si="38"/>
        <v>0</v>
      </c>
      <c r="AA105" s="141"/>
      <c r="AB105" s="142">
        <f t="shared" si="44"/>
        <v>116572.66</v>
      </c>
      <c r="AC105" s="142"/>
      <c r="AD105" s="129"/>
      <c r="AE105" s="129"/>
      <c r="AF105" s="129"/>
      <c r="AG105" s="67"/>
    </row>
    <row r="106" spans="1:33" s="63" customFormat="1" ht="54.95" customHeight="1" x14ac:dyDescent="0.85">
      <c r="A106" s="126" t="s">
        <v>272</v>
      </c>
      <c r="B106" s="139">
        <f>CNT!N256</f>
        <v>149724.86000000002</v>
      </c>
      <c r="C106" s="139">
        <f>-BPM!I56</f>
        <v>7286.3899999999994</v>
      </c>
      <c r="D106" s="139">
        <f>DEP!I72</f>
        <v>18213.28</v>
      </c>
      <c r="E106" s="139">
        <f>Lending!I14</f>
        <v>27435.18</v>
      </c>
      <c r="F106" s="139">
        <v>0</v>
      </c>
      <c r="G106" s="139">
        <f>'Oliari Co.'!I24</f>
        <v>25464.33</v>
      </c>
      <c r="H106" s="139">
        <v>0</v>
      </c>
      <c r="I106" s="139">
        <f t="shared" si="43"/>
        <v>228124.03999999998</v>
      </c>
      <c r="J106" s="140"/>
      <c r="K106" s="140"/>
      <c r="L106" s="127" t="s">
        <v>272</v>
      </c>
      <c r="M106" s="139">
        <v>141653.98000000001</v>
      </c>
      <c r="N106" s="139">
        <v>0</v>
      </c>
      <c r="O106" s="139">
        <v>0</v>
      </c>
      <c r="P106" s="139">
        <v>71788.679999999993</v>
      </c>
      <c r="Q106" s="139">
        <v>0</v>
      </c>
      <c r="R106" s="139">
        <v>30823.35</v>
      </c>
      <c r="S106" s="139">
        <v>0</v>
      </c>
      <c r="T106" s="139">
        <f t="shared" si="45"/>
        <v>244266.01</v>
      </c>
      <c r="U106" s="141"/>
      <c r="V106" s="127" t="s">
        <v>272</v>
      </c>
      <c r="W106" s="141"/>
      <c r="X106" s="142">
        <f t="shared" si="37"/>
        <v>228124.03999999998</v>
      </c>
      <c r="Y106" s="141"/>
      <c r="Z106" s="142">
        <f t="shared" si="38"/>
        <v>244266.01</v>
      </c>
      <c r="AA106" s="141"/>
      <c r="AB106" s="142">
        <f t="shared" si="44"/>
        <v>-16141.97000000003</v>
      </c>
      <c r="AC106" s="142"/>
      <c r="AD106" s="129"/>
      <c r="AE106" s="129"/>
      <c r="AF106" s="129"/>
      <c r="AG106" s="67"/>
    </row>
    <row r="107" spans="1:33" s="63" customFormat="1" ht="54.95" customHeight="1" x14ac:dyDescent="0.85">
      <c r="A107" s="126" t="s">
        <v>273</v>
      </c>
      <c r="B107" s="139">
        <f>CNT!N257</f>
        <v>-107009.54</v>
      </c>
      <c r="C107" s="139">
        <v>0</v>
      </c>
      <c r="D107" s="139">
        <v>0</v>
      </c>
      <c r="E107" s="139">
        <f>Lending!I15</f>
        <v>-3915.6899999999996</v>
      </c>
      <c r="F107" s="139">
        <f>'BSC (Dome)'!I78+'BSC (Dome)'!I79</f>
        <v>-67875.3</v>
      </c>
      <c r="G107" s="139">
        <f>'Oliari Co.'!I25</f>
        <v>-6026.51</v>
      </c>
      <c r="H107" s="139">
        <v>0</v>
      </c>
      <c r="I107" s="139">
        <f t="shared" si="43"/>
        <v>-184827.04</v>
      </c>
      <c r="J107" s="140"/>
      <c r="K107" s="140"/>
      <c r="L107" s="127" t="s">
        <v>273</v>
      </c>
      <c r="M107" s="139">
        <v>-141190.76999999999</v>
      </c>
      <c r="N107" s="139">
        <v>0</v>
      </c>
      <c r="O107" s="139">
        <v>0</v>
      </c>
      <c r="P107" s="139">
        <v>-9984.85</v>
      </c>
      <c r="Q107" s="139">
        <f>-26934.67-42410.97</f>
        <v>-69345.64</v>
      </c>
      <c r="R107" s="139">
        <f>-16173.41-9500.81-1721.86</f>
        <v>-27396.080000000002</v>
      </c>
      <c r="S107" s="139">
        <v>0</v>
      </c>
      <c r="T107" s="139">
        <f t="shared" si="45"/>
        <v>-247917.34000000003</v>
      </c>
      <c r="U107" s="141"/>
      <c r="V107" s="127" t="s">
        <v>273</v>
      </c>
      <c r="W107" s="141"/>
      <c r="X107" s="142">
        <f t="shared" si="37"/>
        <v>-184827.04</v>
      </c>
      <c r="Y107" s="141"/>
      <c r="Z107" s="142">
        <f t="shared" si="38"/>
        <v>-247917.34000000003</v>
      </c>
      <c r="AA107" s="141"/>
      <c r="AB107" s="142">
        <f t="shared" si="44"/>
        <v>63090.300000000017</v>
      </c>
      <c r="AC107" s="142"/>
      <c r="AD107" s="129"/>
      <c r="AE107" s="129"/>
      <c r="AF107" s="129"/>
      <c r="AG107" s="67"/>
    </row>
    <row r="108" spans="1:33" s="63" customFormat="1" ht="54.95" customHeight="1" x14ac:dyDescent="0.85">
      <c r="A108" s="126" t="s">
        <v>274</v>
      </c>
      <c r="B108" s="139">
        <f>CNT!N258</f>
        <v>49.6</v>
      </c>
      <c r="C108" s="139">
        <v>0</v>
      </c>
      <c r="D108" s="139">
        <v>0</v>
      </c>
      <c r="E108" s="139">
        <v>0</v>
      </c>
      <c r="F108" s="139">
        <f>'BSC (Dome)'!I77</f>
        <v>1833.08</v>
      </c>
      <c r="G108" s="139">
        <f>'Oliari Co.'!I23</f>
        <v>1.01</v>
      </c>
      <c r="H108" s="139">
        <v>0</v>
      </c>
      <c r="I108" s="139">
        <f t="shared" si="43"/>
        <v>1883.6899999999998</v>
      </c>
      <c r="J108" s="140"/>
      <c r="K108" s="140"/>
      <c r="L108" s="127" t="s">
        <v>274</v>
      </c>
      <c r="M108" s="139">
        <v>0</v>
      </c>
      <c r="N108" s="139">
        <v>0</v>
      </c>
      <c r="O108" s="139">
        <v>0</v>
      </c>
      <c r="P108" s="139">
        <v>0</v>
      </c>
      <c r="Q108" s="139"/>
      <c r="R108" s="139"/>
      <c r="S108" s="139">
        <v>0</v>
      </c>
      <c r="T108" s="139">
        <f t="shared" si="45"/>
        <v>0</v>
      </c>
      <c r="U108" s="141"/>
      <c r="V108" s="127" t="s">
        <v>274</v>
      </c>
      <c r="W108" s="141"/>
      <c r="X108" s="142">
        <f t="shared" si="37"/>
        <v>1883.6899999999998</v>
      </c>
      <c r="Y108" s="141"/>
      <c r="Z108" s="142">
        <f t="shared" si="38"/>
        <v>0</v>
      </c>
      <c r="AA108" s="141"/>
      <c r="AB108" s="142">
        <f t="shared" si="44"/>
        <v>1883.6899999999998</v>
      </c>
      <c r="AC108" s="142"/>
      <c r="AD108" s="129"/>
      <c r="AE108" s="129"/>
      <c r="AF108" s="129"/>
      <c r="AG108" s="67"/>
    </row>
    <row r="109" spans="1:33" s="63" customFormat="1" ht="54.95" customHeight="1" x14ac:dyDescent="0.85">
      <c r="A109" s="126" t="s">
        <v>405</v>
      </c>
      <c r="B109" s="139">
        <f>CNT!N259</f>
        <v>6263.1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f t="shared" si="43"/>
        <v>6263.1</v>
      </c>
      <c r="J109" s="140"/>
      <c r="K109" s="140"/>
      <c r="L109" s="126" t="s">
        <v>405</v>
      </c>
      <c r="M109" s="139"/>
      <c r="N109" s="139"/>
      <c r="O109" s="139"/>
      <c r="P109" s="139"/>
      <c r="Q109" s="139"/>
      <c r="R109" s="139"/>
      <c r="S109" s="139"/>
      <c r="T109" s="139"/>
      <c r="U109" s="141"/>
      <c r="V109" s="126" t="s">
        <v>405</v>
      </c>
      <c r="W109" s="141"/>
      <c r="X109" s="142">
        <f t="shared" si="37"/>
        <v>6263.1</v>
      </c>
      <c r="Y109" s="141"/>
      <c r="Z109" s="142">
        <f t="shared" si="38"/>
        <v>0</v>
      </c>
      <c r="AA109" s="141"/>
      <c r="AB109" s="142"/>
      <c r="AC109" s="142"/>
      <c r="AD109" s="129"/>
      <c r="AE109" s="129"/>
      <c r="AF109" s="129"/>
      <c r="AG109" s="67"/>
    </row>
    <row r="110" spans="1:33" s="63" customFormat="1" ht="54.95" customHeight="1" x14ac:dyDescent="0.85">
      <c r="A110" s="126" t="s">
        <v>448</v>
      </c>
      <c r="B110" s="139">
        <f>CNT!N260</f>
        <v>1841.71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f t="shared" si="43"/>
        <v>1841.71</v>
      </c>
      <c r="J110" s="140"/>
      <c r="K110" s="140"/>
      <c r="L110" s="126" t="s">
        <v>448</v>
      </c>
      <c r="M110" s="139"/>
      <c r="N110" s="139"/>
      <c r="O110" s="139"/>
      <c r="P110" s="139"/>
      <c r="Q110" s="139"/>
      <c r="R110" s="139"/>
      <c r="S110" s="139"/>
      <c r="T110" s="139"/>
      <c r="U110" s="141"/>
      <c r="V110" s="126" t="s">
        <v>448</v>
      </c>
      <c r="W110" s="141"/>
      <c r="X110" s="142"/>
      <c r="Y110" s="141"/>
      <c r="Z110" s="142"/>
      <c r="AA110" s="141"/>
      <c r="AB110" s="142"/>
      <c r="AC110" s="142"/>
      <c r="AD110" s="129"/>
      <c r="AE110" s="129"/>
      <c r="AF110" s="129"/>
      <c r="AG110" s="67"/>
    </row>
    <row r="111" spans="1:33" s="63" customFormat="1" ht="54.95" customHeight="1" x14ac:dyDescent="0.85">
      <c r="A111" s="126" t="s">
        <v>449</v>
      </c>
      <c r="B111" s="139">
        <f>CNT!N262</f>
        <v>9954.3799999999992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f t="shared" si="43"/>
        <v>9954.3799999999992</v>
      </c>
      <c r="J111" s="140"/>
      <c r="K111" s="140"/>
      <c r="L111" s="126" t="s">
        <v>449</v>
      </c>
      <c r="M111" s="139"/>
      <c r="N111" s="139"/>
      <c r="O111" s="139"/>
      <c r="P111" s="139"/>
      <c r="Q111" s="139"/>
      <c r="R111" s="139"/>
      <c r="S111" s="139"/>
      <c r="T111" s="139"/>
      <c r="U111" s="141"/>
      <c r="V111" s="126" t="s">
        <v>449</v>
      </c>
      <c r="W111" s="141"/>
      <c r="X111" s="142"/>
      <c r="Y111" s="141"/>
      <c r="Z111" s="142"/>
      <c r="AA111" s="141"/>
      <c r="AB111" s="142"/>
      <c r="AC111" s="142"/>
      <c r="AD111" s="129"/>
      <c r="AE111" s="129"/>
      <c r="AF111" s="129"/>
      <c r="AG111" s="67"/>
    </row>
    <row r="112" spans="1:33" s="63" customFormat="1" ht="54.95" customHeight="1" x14ac:dyDescent="0.85">
      <c r="A112" s="126" t="s">
        <v>407</v>
      </c>
      <c r="B112" s="139">
        <f>CNT!N261</f>
        <v>18084.98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f t="shared" si="43"/>
        <v>18084.98</v>
      </c>
      <c r="J112" s="140"/>
      <c r="K112" s="140"/>
      <c r="L112" s="126" t="s">
        <v>407</v>
      </c>
      <c r="M112" s="139"/>
      <c r="N112" s="139"/>
      <c r="O112" s="139"/>
      <c r="P112" s="139"/>
      <c r="Q112" s="139"/>
      <c r="R112" s="139">
        <v>0</v>
      </c>
      <c r="S112" s="139">
        <v>0</v>
      </c>
      <c r="T112" s="139"/>
      <c r="U112" s="141"/>
      <c r="V112" s="126" t="s">
        <v>407</v>
      </c>
      <c r="W112" s="141"/>
      <c r="X112" s="142">
        <f t="shared" si="37"/>
        <v>18084.98</v>
      </c>
      <c r="Y112" s="141"/>
      <c r="Z112" s="142">
        <f t="shared" si="38"/>
        <v>0</v>
      </c>
      <c r="AA112" s="141"/>
      <c r="AB112" s="142"/>
      <c r="AC112" s="142"/>
      <c r="AD112" s="129"/>
      <c r="AE112" s="129"/>
      <c r="AF112" s="129"/>
      <c r="AG112" s="67"/>
    </row>
    <row r="113" spans="1:33" s="63" customFormat="1" ht="54.95" customHeight="1" x14ac:dyDescent="0.85">
      <c r="A113" s="126" t="s">
        <v>462</v>
      </c>
      <c r="B113" s="139">
        <f>CNT!N263</f>
        <v>3098.28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f t="shared" si="43"/>
        <v>3098.28</v>
      </c>
      <c r="J113" s="140"/>
      <c r="K113" s="140"/>
      <c r="L113" s="126" t="s">
        <v>462</v>
      </c>
      <c r="M113" s="139"/>
      <c r="N113" s="139"/>
      <c r="O113" s="139"/>
      <c r="P113" s="139"/>
      <c r="Q113" s="139"/>
      <c r="R113" s="139"/>
      <c r="S113" s="139"/>
      <c r="T113" s="139"/>
      <c r="U113" s="141"/>
      <c r="V113" s="126" t="s">
        <v>462</v>
      </c>
      <c r="W113" s="141"/>
      <c r="X113" s="142"/>
      <c r="Y113" s="141"/>
      <c r="Z113" s="142"/>
      <c r="AA113" s="141"/>
      <c r="AB113" s="142"/>
      <c r="AC113" s="142"/>
      <c r="AD113" s="129"/>
      <c r="AE113" s="129"/>
      <c r="AF113" s="129"/>
      <c r="AG113" s="67"/>
    </row>
    <row r="114" spans="1:33" s="63" customFormat="1" ht="54.95" customHeight="1" x14ac:dyDescent="0.85">
      <c r="A114" s="138" t="s">
        <v>467</v>
      </c>
      <c r="B114" s="144">
        <f t="shared" ref="B114:I114" si="46">SUM(B101:B113)</f>
        <v>571417.49999999988</v>
      </c>
      <c r="C114" s="144">
        <f t="shared" si="46"/>
        <v>-278051.07999999996</v>
      </c>
      <c r="D114" s="144">
        <f t="shared" si="46"/>
        <v>105713.28</v>
      </c>
      <c r="E114" s="144">
        <f t="shared" si="46"/>
        <v>23519.49</v>
      </c>
      <c r="F114" s="144">
        <f t="shared" si="46"/>
        <v>-27042.22</v>
      </c>
      <c r="G114" s="144">
        <f t="shared" si="46"/>
        <v>143338.83000000002</v>
      </c>
      <c r="H114" s="144">
        <f t="shared" si="46"/>
        <v>25000</v>
      </c>
      <c r="I114" s="144">
        <f t="shared" si="46"/>
        <v>563895.79999999981</v>
      </c>
      <c r="J114" s="158">
        <f>SUM(I101:I113)-I114</f>
        <v>0</v>
      </c>
      <c r="K114" s="140"/>
      <c r="L114" s="138" t="s">
        <v>467</v>
      </c>
      <c r="M114" s="144">
        <f>SUM(M101:M108)</f>
        <v>241445.71</v>
      </c>
      <c r="N114" s="144">
        <f>SUM(N101:N108)</f>
        <v>-240982.5</v>
      </c>
      <c r="O114" s="144">
        <f>SUM(O101:O108)</f>
        <v>0</v>
      </c>
      <c r="P114" s="144">
        <f>SUM(P101:P108)</f>
        <v>61803.829999999994</v>
      </c>
      <c r="Q114" s="144">
        <f>SUM(Q101:Q108)</f>
        <v>-67145.64</v>
      </c>
      <c r="R114" s="144">
        <f>SUM(R101:R112)</f>
        <v>302327.26999999996</v>
      </c>
      <c r="S114" s="144">
        <f>SUM(S101:S112)</f>
        <v>100000</v>
      </c>
      <c r="T114" s="144">
        <f>SUM(M114:S114)</f>
        <v>397448.66999999993</v>
      </c>
      <c r="U114" s="154">
        <f>SUM(T101:T112)-T114</f>
        <v>0</v>
      </c>
      <c r="V114" s="138" t="s">
        <v>467</v>
      </c>
      <c r="W114" s="141"/>
      <c r="X114" s="149">
        <f t="shared" si="37"/>
        <v>563895.79999999981</v>
      </c>
      <c r="Y114" s="141"/>
      <c r="Z114" s="149">
        <f t="shared" si="38"/>
        <v>397448.66999999993</v>
      </c>
      <c r="AA114" s="141"/>
      <c r="AB114" s="149">
        <f>I114-T114</f>
        <v>166447.12999999989</v>
      </c>
      <c r="AC114" s="149"/>
      <c r="AD114" s="129"/>
      <c r="AE114" s="129"/>
      <c r="AF114" s="129"/>
      <c r="AG114" s="67"/>
    </row>
    <row r="115" spans="1:33" s="63" customFormat="1" ht="54.95" customHeight="1" x14ac:dyDescent="0.85">
      <c r="A115" s="137"/>
      <c r="B115" s="139"/>
      <c r="C115" s="139"/>
      <c r="D115" s="139"/>
      <c r="E115" s="139"/>
      <c r="F115" s="139"/>
      <c r="G115" s="139"/>
      <c r="H115" s="139"/>
      <c r="I115" s="139">
        <f t="shared" si="43"/>
        <v>0</v>
      </c>
      <c r="J115" s="140"/>
      <c r="K115" s="140"/>
      <c r="L115" s="138"/>
      <c r="M115" s="139"/>
      <c r="N115" s="139"/>
      <c r="O115" s="139"/>
      <c r="P115" s="139"/>
      <c r="Q115" s="139"/>
      <c r="R115" s="139"/>
      <c r="S115" s="139"/>
      <c r="T115" s="139">
        <f t="shared" si="45"/>
        <v>0</v>
      </c>
      <c r="U115" s="141"/>
      <c r="V115" s="138"/>
      <c r="W115" s="141"/>
      <c r="X115" s="142"/>
      <c r="Y115" s="141"/>
      <c r="Z115" s="142">
        <f t="shared" si="38"/>
        <v>0</v>
      </c>
      <c r="AA115" s="141"/>
      <c r="AB115" s="142"/>
      <c r="AC115" s="142"/>
      <c r="AD115" s="129"/>
      <c r="AE115" s="129"/>
      <c r="AF115" s="129"/>
      <c r="AG115" s="67"/>
    </row>
    <row r="116" spans="1:33" s="63" customFormat="1" ht="54.95" customHeight="1" thickBot="1" x14ac:dyDescent="0.9">
      <c r="A116" s="137" t="s">
        <v>268</v>
      </c>
      <c r="B116" s="159">
        <f>B35-B98+B114</f>
        <v>-347143.63999965705</v>
      </c>
      <c r="C116" s="159">
        <f t="shared" ref="C116:H116" si="47">C35-C98+C114</f>
        <v>402281.9700000108</v>
      </c>
      <c r="D116" s="159">
        <f t="shared" si="47"/>
        <v>503419.30000000028</v>
      </c>
      <c r="E116" s="159">
        <f>E35-E98+E114</f>
        <v>17544.25</v>
      </c>
      <c r="F116" s="159">
        <f t="shared" si="47"/>
        <v>18349.990000000078</v>
      </c>
      <c r="G116" s="159">
        <f>G35-G98+G114</f>
        <v>75939.94</v>
      </c>
      <c r="H116" s="159">
        <f t="shared" si="47"/>
        <v>-78983.75</v>
      </c>
      <c r="I116" s="159">
        <f t="shared" si="43"/>
        <v>591408.06000035419</v>
      </c>
      <c r="J116" s="127"/>
      <c r="K116" s="127"/>
      <c r="L116" s="138" t="s">
        <v>268</v>
      </c>
      <c r="M116" s="159">
        <f t="shared" ref="M116:S116" si="48">M35-M98+M114</f>
        <v>-1254216.1599989701</v>
      </c>
      <c r="N116" s="159">
        <f t="shared" si="48"/>
        <v>110330.88000000699</v>
      </c>
      <c r="O116" s="159">
        <f t="shared" si="48"/>
        <v>425528.18000000017</v>
      </c>
      <c r="P116" s="159">
        <f t="shared" si="48"/>
        <v>57760.249999999993</v>
      </c>
      <c r="Q116" s="159">
        <f>Q35-Q98+Q114</f>
        <v>16331.380000000019</v>
      </c>
      <c r="R116" s="159">
        <f>R35-R98+R114</f>
        <v>254403.22999999995</v>
      </c>
      <c r="S116" s="159">
        <f t="shared" si="48"/>
        <v>97161.63</v>
      </c>
      <c r="T116" s="159">
        <f t="shared" si="45"/>
        <v>-292700.60999896307</v>
      </c>
      <c r="U116" s="126"/>
      <c r="V116" s="138" t="s">
        <v>268</v>
      </c>
      <c r="W116" s="126"/>
      <c r="X116" s="160">
        <f t="shared" si="37"/>
        <v>591408.06000035419</v>
      </c>
      <c r="Y116" s="126"/>
      <c r="Z116" s="160">
        <f t="shared" si="38"/>
        <v>-292700.60999896307</v>
      </c>
      <c r="AA116" s="126"/>
      <c r="AB116" s="160">
        <f>I116-T116</f>
        <v>884108.66999931727</v>
      </c>
      <c r="AC116" s="161"/>
      <c r="AD116" s="129"/>
      <c r="AE116" s="129"/>
      <c r="AF116" s="129"/>
      <c r="AG116" s="67"/>
    </row>
    <row r="117" spans="1:33" ht="39.950000000000003" customHeight="1" thickTop="1" x14ac:dyDescent="0.85">
      <c r="B117" s="139"/>
      <c r="C117" s="139"/>
      <c r="D117" s="139"/>
      <c r="E117" s="139"/>
      <c r="F117" s="139"/>
      <c r="G117" s="139"/>
      <c r="H117" s="139"/>
      <c r="I117" s="139"/>
      <c r="AE117" s="129"/>
      <c r="AG117" s="49"/>
    </row>
    <row r="118" spans="1:33" ht="39.950000000000003" customHeight="1" x14ac:dyDescent="0.85">
      <c r="AE118" s="129"/>
      <c r="AG118" s="49"/>
    </row>
    <row r="119" spans="1:33" s="63" customFormat="1" ht="39.950000000000003" customHeight="1" x14ac:dyDescent="0.85">
      <c r="A119" s="126" t="s">
        <v>333</v>
      </c>
      <c r="B119" s="162">
        <v>-347143.64000031271</v>
      </c>
      <c r="C119" s="162">
        <v>402281.97000000335</v>
      </c>
      <c r="D119" s="162">
        <v>503419.3</v>
      </c>
      <c r="E119" s="162">
        <v>17544.25</v>
      </c>
      <c r="F119" s="162">
        <v>18349.990000000078</v>
      </c>
      <c r="G119" s="162">
        <v>75939.939999999973</v>
      </c>
      <c r="H119" s="162">
        <v>-78983.75</v>
      </c>
      <c r="I119" s="139">
        <f>SUM(B119:H119)</f>
        <v>591408.05999969074</v>
      </c>
      <c r="J119" s="140"/>
      <c r="K119" s="140"/>
      <c r="L119" s="127"/>
      <c r="M119" s="139">
        <v>-1254216.1599999999</v>
      </c>
      <c r="N119" s="139">
        <v>110330.88</v>
      </c>
      <c r="O119" s="139">
        <v>425528.18</v>
      </c>
      <c r="P119" s="139">
        <v>57760.25</v>
      </c>
      <c r="Q119" s="139">
        <v>16331.38</v>
      </c>
      <c r="R119" s="139">
        <v>254403.23</v>
      </c>
      <c r="S119" s="139">
        <v>97161.63</v>
      </c>
      <c r="T119" s="139">
        <f>SUM(M119:S119)</f>
        <v>-292700.60999999987</v>
      </c>
      <c r="U119" s="141"/>
      <c r="V119" s="127"/>
      <c r="W119" s="141"/>
      <c r="X119" s="142"/>
      <c r="Y119" s="141"/>
      <c r="Z119" s="142"/>
      <c r="AA119" s="141"/>
      <c r="AB119" s="142"/>
      <c r="AC119" s="142"/>
      <c r="AD119" s="129"/>
      <c r="AE119" s="129"/>
      <c r="AF119" s="129"/>
      <c r="AG119" s="67"/>
    </row>
    <row r="120" spans="1:33" s="63" customFormat="1" ht="39.950000000000003" customHeight="1" x14ac:dyDescent="0.85">
      <c r="A120" s="126"/>
      <c r="B120" s="162">
        <f t="shared" ref="B120:I120" si="49">B116-B119</f>
        <v>6.5565109252929688E-7</v>
      </c>
      <c r="C120" s="162">
        <f t="shared" si="49"/>
        <v>7.4505805969238281E-9</v>
      </c>
      <c r="D120" s="162">
        <f t="shared" si="49"/>
        <v>0</v>
      </c>
      <c r="E120" s="162">
        <f t="shared" si="49"/>
        <v>0</v>
      </c>
      <c r="F120" s="162">
        <f t="shared" si="49"/>
        <v>0</v>
      </c>
      <c r="G120" s="162">
        <f t="shared" si="49"/>
        <v>0</v>
      </c>
      <c r="H120" s="162">
        <f t="shared" si="49"/>
        <v>0</v>
      </c>
      <c r="I120" s="139">
        <f t="shared" si="49"/>
        <v>6.6345091909170151E-7</v>
      </c>
      <c r="J120" s="140"/>
      <c r="K120" s="140"/>
      <c r="L120" s="127"/>
      <c r="M120" s="139">
        <f>M116-M119</f>
        <v>1.0298099368810654E-6</v>
      </c>
      <c r="N120" s="139">
        <f t="shared" ref="N120:S120" si="50">N116-N119</f>
        <v>6.9849193096160889E-9</v>
      </c>
      <c r="O120" s="139">
        <f t="shared" si="50"/>
        <v>0</v>
      </c>
      <c r="P120" s="139">
        <f t="shared" si="50"/>
        <v>0</v>
      </c>
      <c r="Q120" s="139">
        <f>Q116-Q119</f>
        <v>2.0008883439004421E-11</v>
      </c>
      <c r="R120" s="139">
        <f>R116-R119</f>
        <v>0</v>
      </c>
      <c r="S120" s="139">
        <f t="shared" si="50"/>
        <v>0</v>
      </c>
      <c r="T120" s="139">
        <f>T116-T119</f>
        <v>1.0367948561906815E-6</v>
      </c>
      <c r="U120" s="141"/>
      <c r="V120" s="127"/>
      <c r="W120" s="141"/>
      <c r="X120" s="142"/>
      <c r="Y120" s="141"/>
      <c r="Z120" s="142"/>
      <c r="AA120" s="141"/>
      <c r="AB120" s="142"/>
      <c r="AC120" s="142"/>
      <c r="AD120" s="129"/>
      <c r="AE120" s="129"/>
      <c r="AF120" s="129"/>
      <c r="AG120" s="67"/>
    </row>
    <row r="121" spans="1:33" s="63" customFormat="1" ht="39.950000000000003" customHeight="1" x14ac:dyDescent="0.85">
      <c r="A121" s="126"/>
      <c r="B121" s="139"/>
      <c r="C121" s="139"/>
      <c r="D121" s="139"/>
      <c r="E121" s="139"/>
      <c r="F121" s="139"/>
      <c r="G121" s="139"/>
      <c r="H121" s="139"/>
      <c r="I121" s="139">
        <f>I35-I49-I74-I96+I114-I116</f>
        <v>0</v>
      </c>
      <c r="J121" s="140"/>
      <c r="K121" s="140"/>
      <c r="L121" s="127"/>
      <c r="M121" s="139"/>
      <c r="N121" s="139"/>
      <c r="O121" s="139"/>
      <c r="P121" s="139"/>
      <c r="Q121" s="139"/>
      <c r="R121" s="139"/>
      <c r="S121" s="139"/>
      <c r="T121" s="139">
        <f>T35-T49-T74-T96+T114-T116</f>
        <v>-6.9849193096160889E-10</v>
      </c>
      <c r="U121" s="141"/>
      <c r="V121" s="127"/>
      <c r="W121" s="141"/>
      <c r="X121" s="142"/>
      <c r="Y121" s="141"/>
      <c r="Z121" s="142"/>
      <c r="AA121" s="141"/>
      <c r="AB121" s="142"/>
      <c r="AC121" s="142"/>
      <c r="AD121" s="129"/>
      <c r="AE121" s="129"/>
      <c r="AF121" s="129"/>
      <c r="AG121" s="67"/>
    </row>
    <row r="122" spans="1:33" s="63" customFormat="1" ht="48.75" customHeight="1" x14ac:dyDescent="0.85">
      <c r="A122" s="126"/>
      <c r="B122" s="139"/>
      <c r="C122" s="139"/>
      <c r="D122" s="139"/>
      <c r="E122" s="139"/>
      <c r="F122" s="139" t="s">
        <v>432</v>
      </c>
      <c r="G122" s="139"/>
      <c r="H122" s="139"/>
      <c r="I122" s="139"/>
      <c r="J122" s="140"/>
      <c r="K122" s="140"/>
      <c r="L122" s="127"/>
      <c r="M122" s="139"/>
      <c r="N122" s="139"/>
      <c r="O122" s="139"/>
      <c r="P122" s="139"/>
      <c r="Q122" s="139"/>
      <c r="R122" s="139" t="s">
        <v>425</v>
      </c>
      <c r="S122" s="139"/>
      <c r="T122" s="139"/>
      <c r="U122" s="141"/>
      <c r="V122" s="127"/>
      <c r="W122" s="141"/>
      <c r="X122" s="142"/>
      <c r="Y122" s="141"/>
      <c r="Z122" s="142"/>
      <c r="AA122" s="141"/>
      <c r="AB122" s="142"/>
      <c r="AC122" s="142"/>
      <c r="AD122" s="129"/>
      <c r="AE122" s="129"/>
      <c r="AF122" s="129"/>
      <c r="AG122" s="67"/>
    </row>
    <row r="123" spans="1:33" s="63" customFormat="1" ht="30" customHeight="1" x14ac:dyDescent="0.85">
      <c r="A123" s="126"/>
      <c r="B123" s="139"/>
      <c r="C123" s="139"/>
      <c r="D123" s="139"/>
      <c r="E123" s="139"/>
      <c r="F123" s="139"/>
      <c r="G123" s="139"/>
      <c r="H123" s="139"/>
      <c r="I123" s="139"/>
      <c r="J123" s="140"/>
      <c r="K123" s="140"/>
      <c r="L123" s="127"/>
      <c r="M123" s="139"/>
      <c r="N123" s="139"/>
      <c r="O123" s="139"/>
      <c r="P123" s="139"/>
      <c r="Q123" s="139"/>
      <c r="R123" s="139" t="s">
        <v>426</v>
      </c>
      <c r="S123" s="139"/>
      <c r="T123" s="139"/>
      <c r="U123" s="141"/>
      <c r="V123" s="127"/>
      <c r="W123" s="141"/>
      <c r="X123" s="142"/>
      <c r="Y123" s="141"/>
      <c r="Z123" s="142"/>
      <c r="AA123" s="141"/>
      <c r="AB123" s="142"/>
      <c r="AC123" s="142"/>
      <c r="AD123" s="129"/>
      <c r="AE123" s="129"/>
      <c r="AF123" s="129"/>
      <c r="AG123" s="67"/>
    </row>
    <row r="124" spans="1:33" s="63" customFormat="1" ht="30" customHeight="1" x14ac:dyDescent="0.85">
      <c r="A124" s="126"/>
      <c r="B124" s="139"/>
      <c r="C124" s="139"/>
      <c r="D124" s="139"/>
      <c r="E124" s="139"/>
      <c r="F124" s="139"/>
      <c r="G124" s="139"/>
      <c r="H124" s="139"/>
      <c r="I124" s="139"/>
      <c r="J124" s="140"/>
      <c r="K124" s="140"/>
      <c r="L124" s="127"/>
      <c r="M124" s="139"/>
      <c r="N124" s="139"/>
      <c r="O124" s="139"/>
      <c r="P124" s="139"/>
      <c r="Q124" s="139"/>
      <c r="R124" s="139" t="s">
        <v>429</v>
      </c>
      <c r="S124" s="139"/>
      <c r="T124" s="139"/>
      <c r="U124" s="141"/>
      <c r="V124" s="127"/>
      <c r="W124" s="141"/>
      <c r="X124" s="142"/>
      <c r="Y124" s="141"/>
      <c r="Z124" s="142"/>
      <c r="AA124" s="141"/>
      <c r="AB124" s="142"/>
      <c r="AC124" s="142"/>
      <c r="AD124" s="129"/>
      <c r="AE124" s="129"/>
      <c r="AF124" s="129"/>
      <c r="AG124" s="67"/>
    </row>
    <row r="125" spans="1:33" s="63" customFormat="1" ht="30" customHeight="1" x14ac:dyDescent="0.85">
      <c r="A125" s="126"/>
      <c r="B125" s="139"/>
      <c r="C125" s="139"/>
      <c r="D125" s="139"/>
      <c r="E125" s="139"/>
      <c r="F125" s="139"/>
      <c r="G125" s="139"/>
      <c r="H125" s="139"/>
      <c r="I125" s="139"/>
      <c r="J125" s="140"/>
      <c r="K125" s="140"/>
      <c r="L125" s="127"/>
      <c r="M125" s="139"/>
      <c r="N125" s="139"/>
      <c r="O125" s="139"/>
      <c r="P125" s="139"/>
      <c r="Q125" s="139"/>
      <c r="R125" s="163">
        <v>11000</v>
      </c>
      <c r="S125" s="139"/>
      <c r="T125" s="139"/>
      <c r="U125" s="141"/>
      <c r="V125" s="127"/>
      <c r="W125" s="141"/>
      <c r="X125" s="142"/>
      <c r="Y125" s="141"/>
      <c r="Z125" s="142"/>
      <c r="AA125" s="141"/>
      <c r="AB125" s="142"/>
      <c r="AC125" s="142"/>
      <c r="AD125" s="129"/>
      <c r="AE125" s="129"/>
      <c r="AF125" s="129"/>
      <c r="AG125" s="67"/>
    </row>
    <row r="126" spans="1:33" s="63" customFormat="1" ht="30" customHeight="1" x14ac:dyDescent="0.85">
      <c r="A126" s="126"/>
      <c r="B126" s="139"/>
      <c r="C126" s="139"/>
      <c r="D126" s="139"/>
      <c r="E126" s="139"/>
      <c r="F126" s="139"/>
      <c r="G126" s="139"/>
      <c r="H126" s="139"/>
      <c r="I126" s="139"/>
      <c r="J126" s="140"/>
      <c r="K126" s="140"/>
      <c r="L126" s="127"/>
      <c r="M126" s="139"/>
      <c r="N126" s="139"/>
      <c r="O126" s="139"/>
      <c r="P126" s="139"/>
      <c r="Q126" s="139"/>
      <c r="R126" s="139" t="s">
        <v>427</v>
      </c>
      <c r="S126" s="139"/>
      <c r="T126" s="139"/>
      <c r="U126" s="141"/>
      <c r="V126" s="127"/>
      <c r="W126" s="141"/>
      <c r="X126" s="142"/>
      <c r="Y126" s="141"/>
      <c r="Z126" s="142"/>
      <c r="AA126" s="141"/>
      <c r="AB126" s="142"/>
      <c r="AC126" s="142"/>
      <c r="AD126" s="129"/>
      <c r="AE126" s="129"/>
      <c r="AF126" s="129"/>
      <c r="AG126" s="67"/>
    </row>
    <row r="127" spans="1:33" s="63" customFormat="1" ht="30" customHeight="1" x14ac:dyDescent="0.85">
      <c r="A127" s="126"/>
      <c r="B127" s="139"/>
      <c r="C127" s="139"/>
      <c r="D127" s="139"/>
      <c r="E127" s="139"/>
      <c r="F127" s="139"/>
      <c r="G127" s="139"/>
      <c r="H127" s="139"/>
      <c r="I127" s="139"/>
      <c r="J127" s="140"/>
      <c r="K127" s="140"/>
      <c r="L127" s="127"/>
      <c r="M127" s="139"/>
      <c r="N127" s="139"/>
      <c r="O127" s="139"/>
      <c r="P127" s="139"/>
      <c r="Q127" s="139"/>
      <c r="R127" s="139" t="s">
        <v>428</v>
      </c>
      <c r="S127" s="139"/>
      <c r="T127" s="139"/>
      <c r="U127" s="141"/>
      <c r="V127" s="127"/>
      <c r="W127" s="141"/>
      <c r="X127" s="142"/>
      <c r="Y127" s="141"/>
      <c r="Z127" s="142"/>
      <c r="AA127" s="141"/>
      <c r="AB127" s="142"/>
      <c r="AC127" s="142"/>
      <c r="AD127" s="129"/>
      <c r="AE127" s="129"/>
      <c r="AF127" s="129"/>
      <c r="AG127" s="67"/>
    </row>
    <row r="128" spans="1:33" s="63" customFormat="1" ht="30" customHeight="1" x14ac:dyDescent="0.85">
      <c r="A128" s="126"/>
      <c r="B128" s="139"/>
      <c r="C128" s="139"/>
      <c r="D128" s="139"/>
      <c r="E128" s="139"/>
      <c r="F128" s="139"/>
      <c r="G128" s="139"/>
      <c r="H128" s="139"/>
      <c r="I128" s="139"/>
      <c r="J128" s="140"/>
      <c r="K128" s="140"/>
      <c r="L128" s="127"/>
      <c r="M128" s="139"/>
      <c r="N128" s="139"/>
      <c r="O128" s="139"/>
      <c r="P128" s="139"/>
      <c r="Q128" s="139"/>
      <c r="R128" s="139"/>
      <c r="S128" s="139"/>
      <c r="T128" s="139"/>
      <c r="U128" s="141"/>
      <c r="V128" s="127"/>
      <c r="W128" s="141"/>
      <c r="X128" s="142"/>
      <c r="Y128" s="141"/>
      <c r="Z128" s="142"/>
      <c r="AA128" s="141"/>
      <c r="AB128" s="142"/>
      <c r="AC128" s="142"/>
      <c r="AD128" s="129"/>
      <c r="AE128" s="129"/>
      <c r="AF128" s="129"/>
      <c r="AG128" s="67"/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6" fitToWidth="3" fitToHeight="3" orientation="landscape" r:id="rId1"/>
  <headerFooter>
    <oddFooter>&amp;C&amp;16Page &amp;P of &amp;N</oddFooter>
  </headerFooter>
  <rowBreaks count="2" manualBreakCount="2">
    <brk id="50" max="31" man="1"/>
    <brk id="99" max="31" man="1"/>
  </rowBreaks>
  <colBreaks count="2" manualBreakCount="2">
    <brk id="10" min="4" max="114" man="1"/>
    <brk id="21" min="4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tabSelected="1" view="pageBreakPreview" topLeftCell="L1" zoomScale="60" zoomScaleNormal="50" workbookViewId="0">
      <pane ySplit="18" topLeftCell="A28" activePane="bottomLeft" state="frozen"/>
      <selection activeCell="M77" sqref="M77"/>
      <selection pane="bottomLeft" activeCell="N29" sqref="N29"/>
    </sheetView>
  </sheetViews>
  <sheetFormatPr defaultRowHeight="15" x14ac:dyDescent="0.25"/>
  <cols>
    <col min="1" max="1" width="82.42578125" bestFit="1" customWidth="1"/>
    <col min="2" max="2" width="39.42578125" style="55" bestFit="1" customWidth="1"/>
    <col min="3" max="3" width="33.28515625" style="55" bestFit="1" customWidth="1"/>
    <col min="4" max="4" width="29.5703125" style="55" bestFit="1" customWidth="1"/>
    <col min="5" max="5" width="24.42578125" style="55" bestFit="1" customWidth="1"/>
    <col min="6" max="6" width="27.5703125" style="55" bestFit="1" customWidth="1"/>
    <col min="7" max="8" width="26.140625" style="55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55" bestFit="1" customWidth="1"/>
    <col min="13" max="13" width="33.28515625" style="55" bestFit="1" customWidth="1"/>
    <col min="14" max="14" width="29.5703125" style="55" bestFit="1" customWidth="1"/>
    <col min="15" max="15" width="24.7109375" style="55" customWidth="1"/>
    <col min="16" max="18" width="27" style="55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196" t="s">
        <v>415</v>
      </c>
      <c r="B1" s="196"/>
      <c r="C1" s="196"/>
      <c r="D1" s="196"/>
      <c r="E1" s="196"/>
      <c r="F1" s="196"/>
      <c r="G1" s="196"/>
      <c r="H1" s="196"/>
      <c r="I1" s="196"/>
    </row>
    <row r="2" spans="1:31" ht="24.95" customHeight="1" x14ac:dyDescent="0.25">
      <c r="A2" s="196"/>
      <c r="B2" s="196"/>
      <c r="C2" s="196"/>
      <c r="D2" s="196"/>
      <c r="E2" s="196"/>
      <c r="F2" s="196"/>
      <c r="G2" s="196"/>
      <c r="H2" s="196"/>
      <c r="I2" s="196"/>
    </row>
    <row r="3" spans="1:31" ht="24.9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</row>
    <row r="4" spans="1:31" ht="24.95" customHeight="1" x14ac:dyDescent="0.25">
      <c r="A4" s="196"/>
      <c r="B4" s="196"/>
      <c r="C4" s="196"/>
      <c r="D4" s="196"/>
      <c r="E4" s="196"/>
      <c r="F4" s="196"/>
      <c r="G4" s="196"/>
      <c r="H4" s="196"/>
      <c r="I4" s="196"/>
    </row>
    <row r="5" spans="1:31" x14ac:dyDescent="0.25">
      <c r="A5" s="196"/>
      <c r="B5" s="196"/>
      <c r="C5" s="196"/>
      <c r="D5" s="196"/>
      <c r="E5" s="196"/>
      <c r="F5" s="196"/>
      <c r="G5" s="196"/>
      <c r="H5" s="196"/>
      <c r="I5" s="196"/>
    </row>
    <row r="6" spans="1:31" ht="40.5" customHeight="1" x14ac:dyDescent="0.7">
      <c r="A6" s="197" t="s">
        <v>349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</row>
    <row r="7" spans="1:31" ht="40.5" customHeight="1" x14ac:dyDescent="0.7">
      <c r="A7" s="197" t="s">
        <v>457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</row>
    <row r="8" spans="1:31" ht="14.25" customHeight="1" thickBot="1" x14ac:dyDescent="0.3"/>
    <row r="9" spans="1:31" s="54" customFormat="1" ht="55.5" customHeight="1" x14ac:dyDescent="0.7">
      <c r="A9" s="198">
        <v>2018</v>
      </c>
      <c r="B9" s="199"/>
      <c r="C9" s="199"/>
      <c r="D9" s="199"/>
      <c r="E9" s="199"/>
      <c r="F9" s="199"/>
      <c r="G9" s="199"/>
      <c r="H9" s="199"/>
      <c r="I9" s="200"/>
      <c r="J9" s="56"/>
      <c r="K9" s="198">
        <v>2017</v>
      </c>
      <c r="L9" s="199"/>
      <c r="M9" s="199"/>
      <c r="N9" s="199"/>
      <c r="O9" s="199"/>
      <c r="P9" s="199"/>
      <c r="Q9" s="199"/>
      <c r="R9" s="199"/>
      <c r="S9" s="200"/>
      <c r="T9" s="98"/>
      <c r="U9" s="201" t="s">
        <v>408</v>
      </c>
      <c r="V9" s="202"/>
      <c r="W9" s="202"/>
      <c r="X9" s="202"/>
      <c r="Y9" s="202"/>
      <c r="Z9" s="202"/>
      <c r="AA9" s="202"/>
      <c r="AB9" s="202"/>
      <c r="AC9" s="202"/>
      <c r="AD9" s="202"/>
      <c r="AE9" s="203"/>
    </row>
    <row r="10" spans="1:31" s="54" customFormat="1" ht="30" customHeight="1" x14ac:dyDescent="0.5">
      <c r="A10" s="190" t="s">
        <v>409</v>
      </c>
      <c r="B10" s="191"/>
      <c r="C10" s="191"/>
      <c r="D10" s="191"/>
      <c r="E10" s="191"/>
      <c r="F10" s="191"/>
      <c r="G10" s="191"/>
      <c r="H10" s="191"/>
      <c r="I10" s="192"/>
      <c r="J10" s="56"/>
      <c r="K10" s="190" t="s">
        <v>409</v>
      </c>
      <c r="L10" s="191"/>
      <c r="M10" s="191"/>
      <c r="N10" s="191"/>
      <c r="O10" s="191"/>
      <c r="P10" s="191"/>
      <c r="Q10" s="191"/>
      <c r="R10" s="191"/>
      <c r="S10" s="192"/>
      <c r="T10" s="97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6"/>
    </row>
    <row r="11" spans="1:31" s="54" customFormat="1" ht="30" customHeight="1" x14ac:dyDescent="0.5">
      <c r="A11" s="190" t="s">
        <v>348</v>
      </c>
      <c r="B11" s="191"/>
      <c r="C11" s="191"/>
      <c r="D11" s="191"/>
      <c r="E11" s="191"/>
      <c r="F11" s="191"/>
      <c r="G11" s="191"/>
      <c r="H11" s="191"/>
      <c r="I11" s="192"/>
      <c r="J11" s="56"/>
      <c r="K11" s="190" t="s">
        <v>348</v>
      </c>
      <c r="L11" s="191"/>
      <c r="M11" s="191"/>
      <c r="N11" s="191"/>
      <c r="O11" s="191"/>
      <c r="P11" s="191"/>
      <c r="Q11" s="191"/>
      <c r="R11" s="191"/>
      <c r="S11" s="192"/>
      <c r="T11" s="97"/>
      <c r="U11" s="204"/>
      <c r="V11" s="205"/>
      <c r="W11" s="205"/>
      <c r="X11" s="205"/>
      <c r="Y11" s="205"/>
      <c r="Z11" s="205"/>
      <c r="AA11" s="205"/>
      <c r="AB11" s="205"/>
      <c r="AC11" s="205"/>
      <c r="AD11" s="205"/>
      <c r="AE11" s="206"/>
    </row>
    <row r="12" spans="1:31" s="54" customFormat="1" ht="30" customHeight="1" thickBot="1" x14ac:dyDescent="0.55000000000000004">
      <c r="A12" s="193">
        <v>43312</v>
      </c>
      <c r="B12" s="194"/>
      <c r="C12" s="194"/>
      <c r="D12" s="194"/>
      <c r="E12" s="194"/>
      <c r="F12" s="194"/>
      <c r="G12" s="194"/>
      <c r="H12" s="194"/>
      <c r="I12" s="195"/>
      <c r="J12" s="56"/>
      <c r="K12" s="193">
        <v>42947</v>
      </c>
      <c r="L12" s="194"/>
      <c r="M12" s="194"/>
      <c r="N12" s="194"/>
      <c r="O12" s="194"/>
      <c r="P12" s="194"/>
      <c r="Q12" s="194"/>
      <c r="R12" s="194"/>
      <c r="S12" s="195"/>
      <c r="T12" s="97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9"/>
    </row>
    <row r="13" spans="1:31" s="63" customFormat="1" ht="24.75" customHeight="1" x14ac:dyDescent="0.5">
      <c r="A13" s="60"/>
      <c r="B13" s="61"/>
      <c r="C13" s="61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62"/>
      <c r="C14" s="62"/>
      <c r="D14" s="62"/>
      <c r="E14" s="62"/>
      <c r="F14" s="62"/>
      <c r="G14" s="62"/>
      <c r="H14" s="62"/>
      <c r="I14" s="62"/>
      <c r="J14" s="6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62"/>
      <c r="C15" s="62"/>
      <c r="D15" s="62"/>
      <c r="E15" s="62"/>
      <c r="F15" s="62"/>
      <c r="G15" s="62"/>
      <c r="H15" s="62"/>
      <c r="I15" s="62"/>
      <c r="J15" s="61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342</v>
      </c>
      <c r="AD15" s="66"/>
      <c r="AE15" s="67"/>
    </row>
    <row r="16" spans="1:31" s="63" customFormat="1" ht="24.75" customHeight="1" x14ac:dyDescent="0.5">
      <c r="B16" s="62"/>
      <c r="C16" s="62"/>
      <c r="D16" s="62"/>
      <c r="E16" s="62"/>
      <c r="F16" s="62"/>
      <c r="G16" s="62"/>
      <c r="H16" s="62"/>
      <c r="I16" s="62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0"/>
      <c r="W16" s="60"/>
      <c r="X16" s="60"/>
      <c r="Y16" s="60"/>
      <c r="Z16" s="60"/>
      <c r="AA16" s="60" t="s">
        <v>342</v>
      </c>
      <c r="AB16" s="97"/>
      <c r="AC16" s="67" t="s">
        <v>345</v>
      </c>
      <c r="AD16" s="60"/>
      <c r="AE16" s="60" t="s">
        <v>344</v>
      </c>
    </row>
    <row r="17" spans="1:31" s="63" customFormat="1" ht="24.75" customHeight="1" x14ac:dyDescent="0.5">
      <c r="B17" s="62"/>
      <c r="C17" s="62"/>
      <c r="D17" s="62"/>
      <c r="E17" s="62"/>
      <c r="F17" s="62"/>
      <c r="G17" s="62"/>
      <c r="H17" s="62"/>
      <c r="I17" s="61" t="s">
        <v>208</v>
      </c>
      <c r="J17" s="61"/>
      <c r="K17" s="62"/>
      <c r="L17" s="62"/>
      <c r="M17" s="62"/>
      <c r="N17" s="62"/>
      <c r="O17" s="62"/>
      <c r="P17" s="62"/>
      <c r="Q17" s="62"/>
      <c r="R17" s="62"/>
      <c r="S17" s="61" t="s">
        <v>208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343</v>
      </c>
      <c r="AB17" s="97"/>
      <c r="AC17" s="60" t="s">
        <v>343</v>
      </c>
      <c r="AD17" s="60"/>
      <c r="AE17" s="60" t="s">
        <v>346</v>
      </c>
    </row>
    <row r="18" spans="1:31" s="63" customFormat="1" ht="24.75" customHeight="1" x14ac:dyDescent="0.5">
      <c r="B18" s="68" t="s">
        <v>213</v>
      </c>
      <c r="C18" s="68" t="s">
        <v>215</v>
      </c>
      <c r="D18" s="68" t="s">
        <v>214</v>
      </c>
      <c r="E18" s="68" t="s">
        <v>216</v>
      </c>
      <c r="F18" s="68" t="s">
        <v>217</v>
      </c>
      <c r="G18" s="68" t="s">
        <v>410</v>
      </c>
      <c r="H18" s="68" t="s">
        <v>422</v>
      </c>
      <c r="I18" s="68">
        <v>2018</v>
      </c>
      <c r="J18" s="69"/>
      <c r="K18" s="62"/>
      <c r="L18" s="68" t="s">
        <v>213</v>
      </c>
      <c r="M18" s="68" t="s">
        <v>215</v>
      </c>
      <c r="N18" s="68" t="s">
        <v>214</v>
      </c>
      <c r="O18" s="68" t="s">
        <v>216</v>
      </c>
      <c r="P18" s="68" t="s">
        <v>217</v>
      </c>
      <c r="Q18" s="68" t="s">
        <v>410</v>
      </c>
      <c r="R18" s="68" t="s">
        <v>422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340</v>
      </c>
      <c r="AB18" s="97"/>
      <c r="AC18" s="96" t="s">
        <v>341</v>
      </c>
      <c r="AD18" s="96"/>
      <c r="AE18" s="96" t="s">
        <v>341</v>
      </c>
    </row>
    <row r="19" spans="1:31" s="63" customFormat="1" ht="30" customHeight="1" x14ac:dyDescent="0.5">
      <c r="A19" s="70" t="s">
        <v>62</v>
      </c>
      <c r="B19" s="62"/>
      <c r="C19" s="62"/>
      <c r="D19" s="62"/>
      <c r="E19" s="62"/>
      <c r="F19" s="62"/>
      <c r="G19" s="62"/>
      <c r="H19" s="62"/>
      <c r="I19" s="62"/>
      <c r="J19" s="62"/>
      <c r="K19" s="71" t="s">
        <v>62</v>
      </c>
      <c r="L19" s="62"/>
      <c r="M19" s="62"/>
      <c r="N19" s="62"/>
      <c r="O19" s="62"/>
      <c r="P19" s="62"/>
      <c r="Q19" s="62"/>
      <c r="R19" s="6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413</v>
      </c>
      <c r="B20" s="72">
        <f>'Comparative YTD 2018-2017 July'!B23</f>
        <v>3326130720.7700005</v>
      </c>
      <c r="C20" s="72">
        <f>'Comparative YTD 2018-2017 July'!C23</f>
        <v>54400365.580000006</v>
      </c>
      <c r="D20" s="72">
        <f>'Comparative YTD 2018-2017 July'!D23</f>
        <v>1376642.58</v>
      </c>
      <c r="E20" s="72">
        <f>'Comparative YTD 2018-2017 July'!E23</f>
        <v>0</v>
      </c>
      <c r="F20" s="72">
        <f>'Comparative YTD 2018-2017 July'!F23</f>
        <v>526720.24</v>
      </c>
      <c r="G20" s="72">
        <f>'Comparative YTD 2018-2017 July'!G23</f>
        <v>0</v>
      </c>
      <c r="H20" s="72">
        <f>'Comparative YTD 2018-2017 July'!H23</f>
        <v>0</v>
      </c>
      <c r="I20" s="72">
        <f>SUM(B20:H20)</f>
        <v>3382434449.1700001</v>
      </c>
      <c r="J20" s="73"/>
      <c r="K20" s="63" t="s">
        <v>413</v>
      </c>
      <c r="L20" s="72">
        <f>'Comparative YTD 2018-2017 July'!M23</f>
        <v>2219499427.9799995</v>
      </c>
      <c r="M20" s="72">
        <f>'Comparative YTD 2018-2017 July'!N23</f>
        <v>29745356.440000001</v>
      </c>
      <c r="N20" s="72">
        <f>'Comparative YTD 2018-2017 July'!O23</f>
        <v>1188181.05</v>
      </c>
      <c r="O20" s="72">
        <f>'Comparative YTD 2018-2017 July'!P23</f>
        <v>0</v>
      </c>
      <c r="P20" s="72">
        <f>'Comparative YTD 2018-2017 July'!Q23</f>
        <v>576451.4</v>
      </c>
      <c r="Q20" s="72">
        <f>'Comparative YTD 2018-2017 July'!R23</f>
        <v>0</v>
      </c>
      <c r="R20" s="72">
        <f>'Comparative YTD 2018-2017 July'!S23</f>
        <v>0</v>
      </c>
      <c r="S20" s="72">
        <f t="shared" ref="S20:S27" si="0">SUM(L20:R20)</f>
        <v>2251009416.8699999</v>
      </c>
      <c r="T20" s="72"/>
      <c r="U20" s="63" t="s">
        <v>413</v>
      </c>
      <c r="V20" s="74"/>
      <c r="W20" s="75">
        <f>I20</f>
        <v>3382434449.1700001</v>
      </c>
      <c r="X20" s="74"/>
      <c r="Y20" s="75">
        <f t="shared" ref="Y20:Y27" si="1">S20</f>
        <v>2251009416.8699999</v>
      </c>
      <c r="Z20" s="74"/>
      <c r="AA20" s="75">
        <f>I20-S20</f>
        <v>1131425032.3000002</v>
      </c>
      <c r="AB20" s="102"/>
      <c r="AC20" s="74">
        <f>I20/S20</f>
        <v>1.502630075121246</v>
      </c>
      <c r="AD20" s="75"/>
      <c r="AE20" s="74">
        <f>AC20-1</f>
        <v>0.50263007512124602</v>
      </c>
    </row>
    <row r="21" spans="1:31" s="63" customFormat="1" ht="30" customHeight="1" x14ac:dyDescent="0.5">
      <c r="A21" s="70" t="s">
        <v>224</v>
      </c>
      <c r="B21" s="76">
        <f t="shared" ref="B21:H21" si="2">SUM(B20:B20)</f>
        <v>3326130720.7700005</v>
      </c>
      <c r="C21" s="76">
        <f t="shared" si="2"/>
        <v>54400365.580000006</v>
      </c>
      <c r="D21" s="76">
        <f t="shared" si="2"/>
        <v>1376642.58</v>
      </c>
      <c r="E21" s="76">
        <f t="shared" si="2"/>
        <v>0</v>
      </c>
      <c r="F21" s="76">
        <f t="shared" si="2"/>
        <v>526720.24</v>
      </c>
      <c r="G21" s="76">
        <f t="shared" si="2"/>
        <v>0</v>
      </c>
      <c r="H21" s="76">
        <f t="shared" si="2"/>
        <v>0</v>
      </c>
      <c r="I21" s="76">
        <f>SUM(B21:H21)</f>
        <v>3382434449.1700001</v>
      </c>
      <c r="J21" s="77"/>
      <c r="K21" s="71" t="s">
        <v>224</v>
      </c>
      <c r="L21" s="76">
        <f>SUM(L20:L20)</f>
        <v>2219499427.9799995</v>
      </c>
      <c r="M21" s="76">
        <f t="shared" ref="M21:R21" si="3">SUM(M20:M20)</f>
        <v>29745356.440000001</v>
      </c>
      <c r="N21" s="76">
        <f t="shared" si="3"/>
        <v>1188181.05</v>
      </c>
      <c r="O21" s="76">
        <f t="shared" si="3"/>
        <v>0</v>
      </c>
      <c r="P21" s="76">
        <f t="shared" si="3"/>
        <v>576451.4</v>
      </c>
      <c r="Q21" s="76">
        <f>SUM(Q20:Q20)</f>
        <v>0</v>
      </c>
      <c r="R21" s="76">
        <f t="shared" si="3"/>
        <v>0</v>
      </c>
      <c r="S21" s="76">
        <f t="shared" si="0"/>
        <v>2251009416.8699999</v>
      </c>
      <c r="T21" s="99"/>
      <c r="U21" s="71" t="s">
        <v>224</v>
      </c>
      <c r="V21" s="79"/>
      <c r="W21" s="80">
        <f>I21</f>
        <v>3382434449.1700001</v>
      </c>
      <c r="X21" s="79"/>
      <c r="Y21" s="80">
        <f t="shared" si="1"/>
        <v>2251009416.8699999</v>
      </c>
      <c r="Z21" s="79"/>
      <c r="AA21" s="80">
        <f>I21-S21</f>
        <v>1131425032.3000002</v>
      </c>
      <c r="AB21" s="102"/>
      <c r="AC21" s="78">
        <f>I21/S21</f>
        <v>1.502630075121246</v>
      </c>
      <c r="AD21" s="80"/>
      <c r="AE21" s="78">
        <f t="shared" ref="AE21:AE27" si="4">AC21-1</f>
        <v>0.50263007512124602</v>
      </c>
    </row>
    <row r="22" spans="1:31" s="63" customFormat="1" ht="30" customHeight="1" x14ac:dyDescent="0.5">
      <c r="B22" s="72"/>
      <c r="C22" s="72"/>
      <c r="D22" s="72"/>
      <c r="E22" s="72"/>
      <c r="F22" s="72"/>
      <c r="G22" s="72"/>
      <c r="H22" s="72"/>
      <c r="I22" s="72">
        <f>SUM(B22:H22)</f>
        <v>0</v>
      </c>
      <c r="J22" s="62"/>
      <c r="K22" s="62"/>
      <c r="L22" s="72"/>
      <c r="M22" s="72"/>
      <c r="N22" s="72"/>
      <c r="O22" s="72"/>
      <c r="P22" s="72"/>
      <c r="Q22" s="72"/>
      <c r="R22" s="72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209</v>
      </c>
      <c r="B23" s="72"/>
      <c r="C23" s="72"/>
      <c r="D23" s="72"/>
      <c r="E23" s="72"/>
      <c r="F23" s="72"/>
      <c r="G23" s="72"/>
      <c r="H23" s="72"/>
      <c r="I23" s="72">
        <f>SUM(B23:H23)</f>
        <v>0</v>
      </c>
      <c r="J23" s="62"/>
      <c r="K23" s="71" t="s">
        <v>209</v>
      </c>
      <c r="L23" s="72"/>
      <c r="M23" s="72"/>
      <c r="N23" s="72"/>
      <c r="O23" s="72"/>
      <c r="P23" s="72"/>
      <c r="Q23" s="72"/>
      <c r="R23" s="72"/>
      <c r="S23" s="72">
        <f t="shared" si="0"/>
        <v>0</v>
      </c>
      <c r="T23" s="72"/>
      <c r="U23" s="71" t="s">
        <v>209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414</v>
      </c>
      <c r="B24" s="72">
        <f>'Comparative YTD 2018-2017 July'!B33</f>
        <v>3322302295.6300001</v>
      </c>
      <c r="C24" s="72">
        <f>'Comparative YTD 2018-2017 July'!C33</f>
        <v>53658550.809999995</v>
      </c>
      <c r="D24" s="72">
        <f>'Comparative YTD 2018-2017 July'!D33</f>
        <v>167151.18</v>
      </c>
      <c r="E24" s="72">
        <f>'Comparative YTD 2018-2017 July'!E33</f>
        <v>0</v>
      </c>
      <c r="F24" s="72">
        <f>'Comparative YTD 2018-2017 July'!F33</f>
        <v>1648.2199999999998</v>
      </c>
      <c r="G24" s="72">
        <f>'Comparative YTD 2018-2017 July'!G33</f>
        <v>0</v>
      </c>
      <c r="H24" s="72">
        <f>'Comparative YTD 2018-2017 July'!H33</f>
        <v>0</v>
      </c>
      <c r="I24" s="72">
        <f>'Comparative YTD 2018-2017 July'!I33</f>
        <v>3376129645.8399997</v>
      </c>
      <c r="J24" s="73"/>
      <c r="K24" s="63" t="s">
        <v>414</v>
      </c>
      <c r="L24" s="72">
        <f>'Comparative YTD 2018-2017 July'!M33</f>
        <v>2216600757.3099985</v>
      </c>
      <c r="M24" s="72">
        <f>'Comparative YTD 2018-2017 July'!N33</f>
        <v>29337174.669999994</v>
      </c>
      <c r="N24" s="72">
        <f>'Comparative YTD 2018-2017 July'!O33</f>
        <v>156108.47</v>
      </c>
      <c r="O24" s="72">
        <f>'Comparative YTD 2018-2017 July'!P33</f>
        <v>0</v>
      </c>
      <c r="P24" s="72">
        <f>'Comparative YTD 2018-2017 July'!Q33</f>
        <v>918.27</v>
      </c>
      <c r="Q24" s="72">
        <f>'Comparative YTD 2018-2017 July'!R33</f>
        <v>0</v>
      </c>
      <c r="R24" s="72">
        <f>'Comparative YTD 2018-2017 July'!S33</f>
        <v>0</v>
      </c>
      <c r="S24" s="72">
        <f t="shared" si="0"/>
        <v>2246094958.7199984</v>
      </c>
      <c r="T24" s="72"/>
      <c r="U24" s="63" t="s">
        <v>414</v>
      </c>
      <c r="V24" s="74"/>
      <c r="W24" s="75">
        <f>I24</f>
        <v>3376129645.8399997</v>
      </c>
      <c r="X24" s="74"/>
      <c r="Y24" s="75">
        <f t="shared" si="1"/>
        <v>2246094958.7199984</v>
      </c>
      <c r="Z24" s="74"/>
      <c r="AA24" s="75">
        <f>I24-S24</f>
        <v>1130034687.1200013</v>
      </c>
      <c r="AB24" s="102"/>
      <c r="AC24" s="74">
        <f>I24/S24</f>
        <v>1.5031108247373406</v>
      </c>
      <c r="AD24" s="75"/>
      <c r="AE24" s="74">
        <f t="shared" si="4"/>
        <v>0.50311082473734059</v>
      </c>
    </row>
    <row r="25" spans="1:31" s="63" customFormat="1" ht="30" customHeight="1" x14ac:dyDescent="0.5">
      <c r="A25" s="70" t="s">
        <v>225</v>
      </c>
      <c r="B25" s="76">
        <f t="shared" ref="B25:H25" si="5">SUM(B24:B24)</f>
        <v>3322302295.6300001</v>
      </c>
      <c r="C25" s="76">
        <f t="shared" si="5"/>
        <v>53658550.809999995</v>
      </c>
      <c r="D25" s="76">
        <f t="shared" si="5"/>
        <v>167151.18</v>
      </c>
      <c r="E25" s="76">
        <f t="shared" si="5"/>
        <v>0</v>
      </c>
      <c r="F25" s="76">
        <f t="shared" si="5"/>
        <v>1648.2199999999998</v>
      </c>
      <c r="G25" s="76">
        <f t="shared" si="5"/>
        <v>0</v>
      </c>
      <c r="H25" s="76">
        <f t="shared" si="5"/>
        <v>0</v>
      </c>
      <c r="I25" s="76">
        <f t="shared" ref="I25:I31" si="6">SUM(B25:H25)</f>
        <v>3376129645.8399997</v>
      </c>
      <c r="J25" s="77"/>
      <c r="K25" s="71" t="s">
        <v>225</v>
      </c>
      <c r="L25" s="76">
        <f t="shared" ref="L25:R25" si="7">SUM(L24:L24)</f>
        <v>2216600757.3099985</v>
      </c>
      <c r="M25" s="76">
        <f t="shared" si="7"/>
        <v>29337174.669999994</v>
      </c>
      <c r="N25" s="76">
        <f t="shared" si="7"/>
        <v>156108.47</v>
      </c>
      <c r="O25" s="76">
        <f t="shared" si="7"/>
        <v>0</v>
      </c>
      <c r="P25" s="76">
        <f t="shared" si="7"/>
        <v>918.27</v>
      </c>
      <c r="Q25" s="76">
        <f t="shared" si="7"/>
        <v>0</v>
      </c>
      <c r="R25" s="76">
        <f t="shared" si="7"/>
        <v>0</v>
      </c>
      <c r="S25" s="76">
        <f t="shared" si="0"/>
        <v>2246094958.7199984</v>
      </c>
      <c r="T25" s="99"/>
      <c r="U25" s="71" t="s">
        <v>225</v>
      </c>
      <c r="V25" s="79"/>
      <c r="W25" s="80">
        <f>I25</f>
        <v>3376129645.8399997</v>
      </c>
      <c r="X25" s="79"/>
      <c r="Y25" s="80">
        <f t="shared" si="1"/>
        <v>2246094958.7199984</v>
      </c>
      <c r="Z25" s="79"/>
      <c r="AA25" s="80">
        <f>SUM(AA24:AA24)</f>
        <v>1130034687.1200013</v>
      </c>
      <c r="AB25" s="102"/>
      <c r="AC25" s="78">
        <f>I25/S25</f>
        <v>1.5031108247373406</v>
      </c>
      <c r="AD25" s="80"/>
      <c r="AE25" s="78">
        <f t="shared" si="4"/>
        <v>0.50311082473734059</v>
      </c>
    </row>
    <row r="26" spans="1:31" s="63" customFormat="1" ht="30" customHeight="1" x14ac:dyDescent="0.5">
      <c r="B26" s="72"/>
      <c r="C26" s="72"/>
      <c r="D26" s="72"/>
      <c r="E26" s="72"/>
      <c r="F26" s="72"/>
      <c r="G26" s="72"/>
      <c r="H26" s="72"/>
      <c r="I26" s="72">
        <f t="shared" si="6"/>
        <v>0</v>
      </c>
      <c r="J26" s="62"/>
      <c r="K26" s="62"/>
      <c r="L26" s="72"/>
      <c r="M26" s="72"/>
      <c r="N26" s="72"/>
      <c r="O26" s="72"/>
      <c r="P26" s="72"/>
      <c r="Q26" s="72"/>
      <c r="R26" s="72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212</v>
      </c>
      <c r="B27" s="82">
        <f t="shared" ref="B27:H27" si="8">B21-B25</f>
        <v>3828425.1400003433</v>
      </c>
      <c r="C27" s="82">
        <f t="shared" si="8"/>
        <v>741814.77000001073</v>
      </c>
      <c r="D27" s="82">
        <f t="shared" si="8"/>
        <v>1209491.4000000001</v>
      </c>
      <c r="E27" s="82">
        <f t="shared" si="8"/>
        <v>0</v>
      </c>
      <c r="F27" s="82">
        <f t="shared" si="8"/>
        <v>525072.02</v>
      </c>
      <c r="G27" s="82">
        <f>G21-G25</f>
        <v>0</v>
      </c>
      <c r="H27" s="82">
        <f t="shared" si="8"/>
        <v>0</v>
      </c>
      <c r="I27" s="82">
        <f t="shared" si="6"/>
        <v>6304803.330000354</v>
      </c>
      <c r="J27" s="62"/>
      <c r="K27" s="71" t="s">
        <v>212</v>
      </c>
      <c r="L27" s="82">
        <f t="shared" ref="L27:R27" si="9">L21-L25</f>
        <v>2898670.67000103</v>
      </c>
      <c r="M27" s="82">
        <f t="shared" si="9"/>
        <v>408181.770000007</v>
      </c>
      <c r="N27" s="82">
        <f t="shared" si="9"/>
        <v>1032072.5800000001</v>
      </c>
      <c r="O27" s="82">
        <f t="shared" si="9"/>
        <v>0</v>
      </c>
      <c r="P27" s="82">
        <f t="shared" si="9"/>
        <v>575533.13</v>
      </c>
      <c r="Q27" s="82">
        <f>Q21-Q25</f>
        <v>0</v>
      </c>
      <c r="R27" s="82">
        <f t="shared" si="9"/>
        <v>0</v>
      </c>
      <c r="S27" s="82">
        <f t="shared" si="0"/>
        <v>4914458.1500010369</v>
      </c>
      <c r="T27" s="99"/>
      <c r="U27" s="71" t="s">
        <v>212</v>
      </c>
      <c r="W27" s="83">
        <f>I27</f>
        <v>6304803.330000354</v>
      </c>
      <c r="Y27" s="83">
        <f t="shared" si="1"/>
        <v>4914458.1500010369</v>
      </c>
      <c r="AA27" s="83">
        <f>I27-S27</f>
        <v>1390345.179999317</v>
      </c>
      <c r="AB27" s="102"/>
      <c r="AC27" s="84">
        <f>I27/S27</f>
        <v>1.2829091504216033</v>
      </c>
      <c r="AD27" s="83"/>
      <c r="AE27" s="84">
        <f t="shared" si="4"/>
        <v>0.28290915042160325</v>
      </c>
    </row>
    <row r="28" spans="1:31" s="63" customFormat="1" ht="30" customHeight="1" x14ac:dyDescent="0.5">
      <c r="B28" s="72"/>
      <c r="C28" s="72"/>
      <c r="D28" s="72"/>
      <c r="E28" s="72"/>
      <c r="F28" s="72"/>
      <c r="G28" s="72"/>
      <c r="H28" s="72"/>
      <c r="I28" s="72">
        <f t="shared" si="6"/>
        <v>0</v>
      </c>
      <c r="J28" s="62"/>
      <c r="K28" s="62"/>
      <c r="L28" s="72"/>
      <c r="M28" s="72"/>
      <c r="N28" s="72"/>
      <c r="O28" s="72"/>
      <c r="P28" s="72"/>
      <c r="Q28" s="72"/>
      <c r="R28" s="72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210</v>
      </c>
      <c r="B29" s="72"/>
      <c r="C29" s="72"/>
      <c r="D29" s="72"/>
      <c r="E29" s="72"/>
      <c r="F29" s="72"/>
      <c r="G29" s="72"/>
      <c r="H29" s="72"/>
      <c r="I29" s="72">
        <f t="shared" si="6"/>
        <v>0</v>
      </c>
      <c r="J29" s="62"/>
      <c r="K29" s="71" t="s">
        <v>210</v>
      </c>
      <c r="L29" s="72"/>
      <c r="M29" s="72"/>
      <c r="N29" s="72"/>
      <c r="O29" s="72"/>
      <c r="P29" s="72"/>
      <c r="Q29" s="72"/>
      <c r="R29" s="72"/>
      <c r="S29" s="72"/>
      <c r="T29" s="72"/>
      <c r="U29" s="71" t="s">
        <v>210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226</v>
      </c>
      <c r="B30" s="72">
        <f>'Comparative YTD 2018-2017 July'!B49</f>
        <v>2709384.0900000003</v>
      </c>
      <c r="C30" s="72">
        <f>'Comparative YTD 2018-2017 July'!C49</f>
        <v>0</v>
      </c>
      <c r="D30" s="72">
        <f>'Comparative YTD 2018-2017 July'!D49</f>
        <v>93926.590000000011</v>
      </c>
      <c r="E30" s="72">
        <f>'Comparative YTD 2018-2017 July'!E49</f>
        <v>0</v>
      </c>
      <c r="F30" s="72">
        <f>'Comparative YTD 2018-2017 July'!F49</f>
        <v>250275.47999999998</v>
      </c>
      <c r="G30" s="72">
        <f>'Comparative YTD 2018-2017 July'!G49</f>
        <v>0</v>
      </c>
      <c r="H30" s="72">
        <f>'Comparative YTD 2018-2017 July'!H49</f>
        <v>0</v>
      </c>
      <c r="I30" s="72">
        <f t="shared" si="6"/>
        <v>3053586.16</v>
      </c>
      <c r="J30" s="62"/>
      <c r="K30" s="71" t="s">
        <v>226</v>
      </c>
      <c r="L30" s="72">
        <f>'Comparative YTD 2018-2017 July'!M49</f>
        <v>2952042.7700000005</v>
      </c>
      <c r="M30" s="72">
        <f>'Comparative YTD 2018-2017 July'!N49</f>
        <v>0</v>
      </c>
      <c r="N30" s="72">
        <f>'Comparative YTD 2018-2017 July'!O49</f>
        <v>145518.06999999998</v>
      </c>
      <c r="O30" s="72">
        <f>'Comparative YTD 2018-2017 July'!P49</f>
        <v>0</v>
      </c>
      <c r="P30" s="72">
        <f>'Comparative YTD 2018-2017 July'!Q49</f>
        <v>245092.93</v>
      </c>
      <c r="Q30" s="72">
        <f>'Comparative YTD 2018-2017 July'!R49</f>
        <v>0</v>
      </c>
      <c r="R30" s="72">
        <f>'Comparative YTD 2018-2017 July'!S49</f>
        <v>0</v>
      </c>
      <c r="S30" s="72">
        <f>SUM(L30:R30)</f>
        <v>3342653.7700000005</v>
      </c>
      <c r="T30" s="72"/>
      <c r="U30" s="71" t="s">
        <v>226</v>
      </c>
      <c r="W30" s="75">
        <f>I30</f>
        <v>3053586.16</v>
      </c>
      <c r="Y30" s="75">
        <f t="shared" ref="Y30:Y37" si="10">S30</f>
        <v>3342653.7700000005</v>
      </c>
      <c r="AA30" s="75">
        <f>I30-S30</f>
        <v>-289067.61000000034</v>
      </c>
      <c r="AB30" s="102"/>
      <c r="AC30" s="81">
        <f>I30/S30</f>
        <v>0.91352152215274141</v>
      </c>
      <c r="AD30" s="75"/>
      <c r="AE30" s="81">
        <f>AC30-1</f>
        <v>-8.6478477847258595E-2</v>
      </c>
    </row>
    <row r="31" spans="1:31" s="63" customFormat="1" ht="30" customHeight="1" x14ac:dyDescent="0.5">
      <c r="A31" s="70" t="s">
        <v>235</v>
      </c>
      <c r="B31" s="72">
        <f>'Comparative YTD 2018-2017 July'!B74</f>
        <v>1510355.22</v>
      </c>
      <c r="C31" s="72">
        <f>'Comparative YTD 2018-2017 July'!C74</f>
        <v>9713.1299999999992</v>
      </c>
      <c r="D31" s="72">
        <f>'Comparative YTD 2018-2017 July'!D74</f>
        <v>656607.18999999994</v>
      </c>
      <c r="E31" s="72">
        <f>'Comparative YTD 2018-2017 July'!E74</f>
        <v>109</v>
      </c>
      <c r="F31" s="72">
        <f>'Comparative YTD 2018-2017 July'!F74</f>
        <v>192590.6</v>
      </c>
      <c r="G31" s="72">
        <f>'Comparative YTD 2018-2017 July'!G74</f>
        <v>65278.890000000014</v>
      </c>
      <c r="H31" s="72">
        <f>'Comparative YTD 2018-2017 July'!H74</f>
        <v>103422.56</v>
      </c>
      <c r="I31" s="72">
        <f t="shared" si="6"/>
        <v>2538076.5900000003</v>
      </c>
      <c r="J31" s="62"/>
      <c r="K31" s="71" t="s">
        <v>235</v>
      </c>
      <c r="L31" s="72">
        <f>'Comparative YTD 2018-2017 July'!M74</f>
        <v>985591.17999999993</v>
      </c>
      <c r="M31" s="72">
        <f>'Comparative YTD 2018-2017 July'!N74</f>
        <v>10935.14</v>
      </c>
      <c r="N31" s="72">
        <f>'Comparative YTD 2018-2017 July'!O74</f>
        <v>401468.08999999997</v>
      </c>
      <c r="O31" s="72">
        <f>'Comparative YTD 2018-2017 July'!P74</f>
        <v>0</v>
      </c>
      <c r="P31" s="72">
        <f>'Comparative YTD 2018-2017 July'!Q74</f>
        <v>209042.13</v>
      </c>
      <c r="Q31" s="72">
        <f>'Comparative YTD 2018-2017 July'!R74</f>
        <v>34050.04</v>
      </c>
      <c r="R31" s="72">
        <f>'Comparative YTD 2018-2017 July'!S74</f>
        <v>520</v>
      </c>
      <c r="S31" s="72">
        <f>SUM(L31:R31)</f>
        <v>1641606.58</v>
      </c>
      <c r="T31" s="72"/>
      <c r="U31" s="71" t="s">
        <v>235</v>
      </c>
      <c r="W31" s="75">
        <f>I31</f>
        <v>2538076.5900000003</v>
      </c>
      <c r="Y31" s="75">
        <f t="shared" si="10"/>
        <v>1641606.58</v>
      </c>
      <c r="AA31" s="75">
        <f>I31-S31</f>
        <v>896470.01000000024</v>
      </c>
      <c r="AB31" s="102"/>
      <c r="AC31" s="81">
        <f>I31/S31</f>
        <v>1.546093090099578</v>
      </c>
      <c r="AD31" s="75"/>
      <c r="AE31" s="81">
        <f>AC31-1</f>
        <v>0.54609309009957796</v>
      </c>
    </row>
    <row r="32" spans="1:31" s="63" customFormat="1" ht="30" customHeight="1" x14ac:dyDescent="0.5">
      <c r="A32" s="70" t="s">
        <v>252</v>
      </c>
      <c r="B32" s="72">
        <f>'Comparative YTD 2018-2017 July'!B96</f>
        <v>527246.97000000009</v>
      </c>
      <c r="C32" s="72">
        <f>'Comparative YTD 2018-2017 July'!C96</f>
        <v>51768.59</v>
      </c>
      <c r="D32" s="72">
        <f>'Comparative YTD 2018-2017 July'!D96</f>
        <v>61251.6</v>
      </c>
      <c r="E32" s="72">
        <f>'Comparative YTD 2018-2017 July'!E96</f>
        <v>5866.24</v>
      </c>
      <c r="F32" s="72">
        <f>'Comparative YTD 2018-2017 July'!F96</f>
        <v>36813.729999999996</v>
      </c>
      <c r="G32" s="72">
        <f>'Comparative YTD 2018-2017 July'!G96</f>
        <v>2120</v>
      </c>
      <c r="H32" s="72">
        <f>'Comparative YTD 2018-2017 July'!H96</f>
        <v>561.19000000000005</v>
      </c>
      <c r="I32" s="72">
        <f>'Comparative YTD 2018-2017 July'!I96</f>
        <v>685628.32</v>
      </c>
      <c r="J32" s="62"/>
      <c r="K32" s="71" t="s">
        <v>252</v>
      </c>
      <c r="L32" s="72">
        <f>'Comparative YTD 2018-2017 July'!M96</f>
        <v>456698.59</v>
      </c>
      <c r="M32" s="72">
        <f>'Comparative YTD 2018-2017 July'!N96</f>
        <v>45933.25</v>
      </c>
      <c r="N32" s="72">
        <f>'Comparative YTD 2018-2017 July'!O96</f>
        <v>59558.239999999998</v>
      </c>
      <c r="O32" s="72">
        <f>'Comparative YTD 2018-2017 July'!P96</f>
        <v>4043.58</v>
      </c>
      <c r="P32" s="72">
        <f>'Comparative YTD 2018-2017 July'!Q96</f>
        <v>37921.050000000003</v>
      </c>
      <c r="Q32" s="72">
        <f>'Comparative YTD 2018-2017 July'!R96</f>
        <v>13874</v>
      </c>
      <c r="R32" s="72">
        <f>'Comparative YTD 2018-2017 July'!S96</f>
        <v>2318.37</v>
      </c>
      <c r="S32" s="72">
        <f>SUM(L32:R32)</f>
        <v>620347.08000000007</v>
      </c>
      <c r="T32" s="72"/>
      <c r="U32" s="71" t="s">
        <v>252</v>
      </c>
      <c r="W32" s="75">
        <f>I32</f>
        <v>685628.32</v>
      </c>
      <c r="Y32" s="75">
        <f t="shared" si="10"/>
        <v>620347.08000000007</v>
      </c>
      <c r="AA32" s="75">
        <f>I32-S32</f>
        <v>65281.239999999874</v>
      </c>
      <c r="AB32" s="102"/>
      <c r="AC32" s="81">
        <f>I32/S32</f>
        <v>1.1052334122375491</v>
      </c>
      <c r="AD32" s="75"/>
      <c r="AE32" s="81">
        <f>AC32-1</f>
        <v>0.10523341223754912</v>
      </c>
    </row>
    <row r="33" spans="1:32" s="63" customFormat="1" ht="30" customHeight="1" thickBot="1" x14ac:dyDescent="0.55000000000000004">
      <c r="A33" s="70" t="s">
        <v>266</v>
      </c>
      <c r="B33" s="82">
        <f>SUM(B30:B32)</f>
        <v>4746986.28</v>
      </c>
      <c r="C33" s="82">
        <f t="shared" ref="C33:I33" si="11">SUM(C30:C32)</f>
        <v>61481.719999999994</v>
      </c>
      <c r="D33" s="82">
        <f t="shared" si="11"/>
        <v>811785.37999999989</v>
      </c>
      <c r="E33" s="82">
        <f t="shared" si="11"/>
        <v>5975.24</v>
      </c>
      <c r="F33" s="82">
        <f t="shared" si="11"/>
        <v>479679.80999999994</v>
      </c>
      <c r="G33" s="82">
        <f>SUM(G30:G32)</f>
        <v>67398.890000000014</v>
      </c>
      <c r="H33" s="82">
        <f t="shared" si="11"/>
        <v>103983.75</v>
      </c>
      <c r="I33" s="82">
        <f t="shared" si="11"/>
        <v>6277291.0700000003</v>
      </c>
      <c r="J33" s="62"/>
      <c r="K33" s="71" t="s">
        <v>266</v>
      </c>
      <c r="L33" s="82">
        <f>SUM(L30:L32)</f>
        <v>4394332.54</v>
      </c>
      <c r="M33" s="82">
        <f t="shared" ref="M33:R33" si="12">SUM(M30:M32)</f>
        <v>56868.39</v>
      </c>
      <c r="N33" s="82">
        <f t="shared" si="12"/>
        <v>606544.39999999991</v>
      </c>
      <c r="O33" s="82">
        <f t="shared" si="12"/>
        <v>4043.58</v>
      </c>
      <c r="P33" s="82">
        <f t="shared" si="12"/>
        <v>492056.11</v>
      </c>
      <c r="Q33" s="82">
        <f>SUM(Q30:Q32)</f>
        <v>47924.04</v>
      </c>
      <c r="R33" s="82">
        <f t="shared" si="12"/>
        <v>2838.37</v>
      </c>
      <c r="S33" s="82">
        <f>SUM(S30:S32)</f>
        <v>5604607.4300000006</v>
      </c>
      <c r="T33" s="99"/>
      <c r="U33" s="71" t="s">
        <v>266</v>
      </c>
      <c r="W33" s="83">
        <f>I33</f>
        <v>6277291.0700000003</v>
      </c>
      <c r="Y33" s="83">
        <f t="shared" si="10"/>
        <v>5604607.4300000006</v>
      </c>
      <c r="AA33" s="83">
        <f>I33-S33</f>
        <v>672683.63999999966</v>
      </c>
      <c r="AB33" s="102"/>
      <c r="AC33" s="85">
        <f>I33/S33</f>
        <v>1.1200233287347299</v>
      </c>
      <c r="AD33" s="83"/>
      <c r="AE33" s="85">
        <f>AC33-1</f>
        <v>0.12002332873472987</v>
      </c>
    </row>
    <row r="34" spans="1:32" s="63" customFormat="1" ht="30" customHeight="1" x14ac:dyDescent="0.5">
      <c r="B34" s="72"/>
      <c r="C34" s="72"/>
      <c r="D34" s="72"/>
      <c r="E34" s="72"/>
      <c r="F34" s="72"/>
      <c r="G34" s="72"/>
      <c r="H34" s="72"/>
      <c r="I34" s="72"/>
      <c r="J34" s="62"/>
      <c r="K34" s="62"/>
      <c r="L34" s="72"/>
      <c r="M34" s="72"/>
      <c r="N34" s="72"/>
      <c r="O34" s="72"/>
      <c r="P34" s="72"/>
      <c r="Q34" s="72"/>
      <c r="R34" s="72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466</v>
      </c>
      <c r="B35" s="72">
        <f>'Comparative YTD 2018-2017 July'!B114</f>
        <v>571417.49999999988</v>
      </c>
      <c r="C35" s="72">
        <f>'Comparative YTD 2018-2017 July'!C114</f>
        <v>-278051.07999999996</v>
      </c>
      <c r="D35" s="72">
        <f>'Comparative YTD 2018-2017 July'!D114</f>
        <v>105713.28</v>
      </c>
      <c r="E35" s="72">
        <f>'Comparative YTD 2018-2017 July'!E114</f>
        <v>23519.49</v>
      </c>
      <c r="F35" s="72">
        <f>'Comparative YTD 2018-2017 July'!F114</f>
        <v>-27042.22</v>
      </c>
      <c r="G35" s="72">
        <f>'Comparative YTD 2018-2017 July'!G114</f>
        <v>143338.83000000002</v>
      </c>
      <c r="H35" s="72">
        <f>'Comparative YTD 2018-2017 July'!H114</f>
        <v>25000</v>
      </c>
      <c r="I35" s="72">
        <f>SUM(B35:H35)</f>
        <v>563895.80000000005</v>
      </c>
      <c r="J35" s="62"/>
      <c r="K35" s="70" t="s">
        <v>466</v>
      </c>
      <c r="L35" s="72">
        <f>'Comparative YTD 2018-2017 July'!M114</f>
        <v>241445.71</v>
      </c>
      <c r="M35" s="72">
        <f>'Comparative YTD 2018-2017 July'!N114</f>
        <v>-240982.5</v>
      </c>
      <c r="N35" s="72">
        <f>'Comparative YTD 2018-2017 July'!O114</f>
        <v>0</v>
      </c>
      <c r="O35" s="72">
        <f>'Comparative YTD 2018-2017 July'!P114</f>
        <v>61803.829999999994</v>
      </c>
      <c r="P35" s="72">
        <f>'Comparative YTD 2018-2017 July'!Q114</f>
        <v>-67145.64</v>
      </c>
      <c r="Q35" s="72">
        <f>'Comparative YTD 2018-2017 July'!R114</f>
        <v>302327.26999999996</v>
      </c>
      <c r="R35" s="72">
        <f>'Comparative YTD 2018-2017 July'!S114</f>
        <v>100000</v>
      </c>
      <c r="S35" s="72">
        <f>SUM(L35:R35)</f>
        <v>397448.66999999993</v>
      </c>
      <c r="T35" s="72"/>
      <c r="U35" s="70" t="s">
        <v>466</v>
      </c>
      <c r="W35" s="66">
        <f>I35</f>
        <v>563895.80000000005</v>
      </c>
      <c r="Y35" s="66">
        <f t="shared" si="10"/>
        <v>397448.66999999993</v>
      </c>
      <c r="AA35" s="66">
        <f>I35-S35</f>
        <v>166447.13000000012</v>
      </c>
      <c r="AB35" s="103"/>
      <c r="AC35" s="81">
        <f>I35/S35</f>
        <v>1.4187889973314043</v>
      </c>
      <c r="AD35" s="67"/>
      <c r="AE35" s="81">
        <f>AC35-1</f>
        <v>0.41878899733140429</v>
      </c>
      <c r="AF35" s="67"/>
    </row>
    <row r="36" spans="1:32" s="63" customFormat="1" ht="30" customHeight="1" x14ac:dyDescent="0.5">
      <c r="A36" s="70"/>
      <c r="B36" s="72"/>
      <c r="C36" s="72"/>
      <c r="D36" s="72"/>
      <c r="E36" s="72"/>
      <c r="F36" s="72"/>
      <c r="G36" s="72"/>
      <c r="H36" s="72"/>
      <c r="I36" s="72">
        <f>SUM(B36:H36)</f>
        <v>0</v>
      </c>
      <c r="J36" s="73"/>
      <c r="K36" s="71"/>
      <c r="L36" s="72"/>
      <c r="M36" s="72"/>
      <c r="N36" s="72"/>
      <c r="O36" s="72"/>
      <c r="P36" s="72"/>
      <c r="Q36" s="72"/>
      <c r="R36" s="72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268</v>
      </c>
      <c r="B37" s="86">
        <f t="shared" ref="B37:I37" si="13">B27-B33+B35</f>
        <v>-347143.63999965705</v>
      </c>
      <c r="C37" s="86">
        <f t="shared" si="13"/>
        <v>402281.9700000108</v>
      </c>
      <c r="D37" s="86">
        <f t="shared" si="13"/>
        <v>503419.30000000028</v>
      </c>
      <c r="E37" s="86">
        <f t="shared" si="13"/>
        <v>17544.25</v>
      </c>
      <c r="F37" s="86">
        <f t="shared" si="13"/>
        <v>18349.990000000078</v>
      </c>
      <c r="G37" s="86">
        <f>G27-G33+G35</f>
        <v>75939.94</v>
      </c>
      <c r="H37" s="86">
        <f t="shared" si="13"/>
        <v>-78983.75</v>
      </c>
      <c r="I37" s="86">
        <f t="shared" si="13"/>
        <v>591408.06000035373</v>
      </c>
      <c r="J37" s="62"/>
      <c r="K37" s="71" t="s">
        <v>268</v>
      </c>
      <c r="L37" s="86">
        <f t="shared" ref="L37:R37" si="14">L27-L33+L35</f>
        <v>-1254216.1599989701</v>
      </c>
      <c r="M37" s="86">
        <f t="shared" si="14"/>
        <v>110330.88000000699</v>
      </c>
      <c r="N37" s="86">
        <f t="shared" si="14"/>
        <v>425528.18000000017</v>
      </c>
      <c r="O37" s="86">
        <f t="shared" si="14"/>
        <v>57760.249999999993</v>
      </c>
      <c r="P37" s="86">
        <f t="shared" si="14"/>
        <v>16331.380000000019</v>
      </c>
      <c r="Q37" s="86">
        <f>Q27-Q33+Q35</f>
        <v>254403.22999999995</v>
      </c>
      <c r="R37" s="86">
        <f t="shared" si="14"/>
        <v>97161.63</v>
      </c>
      <c r="S37" s="86">
        <f>SUM(L37:R37)</f>
        <v>-292700.60999896307</v>
      </c>
      <c r="T37" s="100"/>
      <c r="U37" s="71" t="s">
        <v>268</v>
      </c>
      <c r="W37" s="87">
        <f>W27-W33+W35</f>
        <v>591408.06000035373</v>
      </c>
      <c r="Y37" s="87">
        <f t="shared" si="10"/>
        <v>-292700.60999896307</v>
      </c>
      <c r="AA37" s="87">
        <f>I37-S37</f>
        <v>884108.6699993168</v>
      </c>
      <c r="AB37" s="104"/>
      <c r="AC37" s="84">
        <f>I37/S37</f>
        <v>-2.0205221301125706</v>
      </c>
      <c r="AD37" s="83"/>
      <c r="AE37" s="84">
        <f>AC37-1</f>
        <v>-3.0205221301125706</v>
      </c>
      <c r="AF37" s="67"/>
    </row>
    <row r="38" spans="1:32" ht="30" customHeight="1" thickTop="1" x14ac:dyDescent="0.25">
      <c r="B38" s="59"/>
      <c r="C38" s="59"/>
      <c r="D38" s="59"/>
      <c r="E38" s="59"/>
      <c r="F38" s="59"/>
      <c r="G38" s="59"/>
      <c r="H38" s="59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333</v>
      </c>
      <c r="B40" s="72">
        <v>-347143.64000031271</v>
      </c>
      <c r="C40" s="109">
        <v>402281.97000000335</v>
      </c>
      <c r="D40" s="109">
        <v>503419.3</v>
      </c>
      <c r="E40" s="109">
        <v>17544.25</v>
      </c>
      <c r="F40" s="109">
        <v>18349.990000000078</v>
      </c>
      <c r="G40" s="109">
        <v>75939.939999999973</v>
      </c>
      <c r="H40" s="109">
        <v>-78983.75</v>
      </c>
      <c r="I40" s="72">
        <f>SUM(B40:H40)</f>
        <v>591408.05999969074</v>
      </c>
      <c r="J40" s="73"/>
      <c r="K40" s="62"/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f>SUM(L40:R40)</f>
        <v>0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72">
        <f t="shared" ref="B41:I41" si="15">B37-B40</f>
        <v>6.5565109252929688E-7</v>
      </c>
      <c r="C41" s="109">
        <f t="shared" si="15"/>
        <v>7.4505805969238281E-9</v>
      </c>
      <c r="D41" s="109">
        <f t="shared" si="15"/>
        <v>0</v>
      </c>
      <c r="E41" s="109">
        <f t="shared" si="15"/>
        <v>0</v>
      </c>
      <c r="F41" s="109">
        <f t="shared" si="15"/>
        <v>0</v>
      </c>
      <c r="G41" s="109">
        <f t="shared" si="15"/>
        <v>0</v>
      </c>
      <c r="H41" s="109">
        <f t="shared" si="15"/>
        <v>0</v>
      </c>
      <c r="I41" s="72">
        <f t="shared" si="15"/>
        <v>6.6298525780439377E-7</v>
      </c>
      <c r="J41" s="73"/>
      <c r="K41" s="62"/>
      <c r="L41" s="72">
        <f>L37-L40</f>
        <v>-1254216.1599989701</v>
      </c>
      <c r="M41" s="72">
        <f t="shared" ref="M41:R41" si="16">M37-M40</f>
        <v>110330.88000000699</v>
      </c>
      <c r="N41" s="72">
        <f t="shared" si="16"/>
        <v>425528.18000000017</v>
      </c>
      <c r="O41" s="72">
        <f t="shared" si="16"/>
        <v>57760.249999999993</v>
      </c>
      <c r="P41" s="72">
        <f t="shared" si="16"/>
        <v>16331.380000000019</v>
      </c>
      <c r="Q41" s="72">
        <f>Q37-Q40</f>
        <v>254403.22999999995</v>
      </c>
      <c r="R41" s="72">
        <f t="shared" si="16"/>
        <v>97161.63</v>
      </c>
      <c r="S41" s="72">
        <f>S37-S40</f>
        <v>-292700.60999896307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-4.4167973101139069E-7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72"/>
      <c r="C42" s="72"/>
      <c r="D42" s="72"/>
      <c r="E42" s="72"/>
      <c r="F42" s="72"/>
      <c r="G42" s="72"/>
      <c r="H42" s="72"/>
      <c r="I42" s="72"/>
      <c r="J42" s="73"/>
      <c r="K42" s="62"/>
      <c r="L42" s="72"/>
      <c r="M42" s="72"/>
      <c r="N42" s="72"/>
      <c r="O42" s="72"/>
      <c r="P42" s="72"/>
      <c r="Q42" s="72"/>
      <c r="R42" s="72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57"/>
      <c r="C43" s="57"/>
      <c r="D43" s="57"/>
      <c r="E43" s="57"/>
    </row>
    <row r="44" spans="1:32" x14ac:dyDescent="0.25">
      <c r="B44" s="57"/>
      <c r="C44" s="57"/>
      <c r="D44" s="57"/>
      <c r="E44" s="57"/>
    </row>
    <row r="45" spans="1:32" x14ac:dyDescent="0.25">
      <c r="B45" s="57"/>
      <c r="C45" s="57"/>
      <c r="D45" s="57"/>
      <c r="E45" s="57"/>
    </row>
    <row r="46" spans="1:32" x14ac:dyDescent="0.25">
      <c r="B46" s="57"/>
      <c r="C46" s="57"/>
      <c r="D46" s="57"/>
      <c r="E46" s="57"/>
    </row>
    <row r="47" spans="1:32" x14ac:dyDescent="0.25">
      <c r="B47" s="57"/>
      <c r="C47" s="57"/>
      <c r="D47" s="57"/>
      <c r="E47" s="57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78"/>
  <sheetViews>
    <sheetView zoomScaleNormal="100" workbookViewId="0">
      <pane ySplit="6" topLeftCell="A46" activePane="bottomLeft" state="frozen"/>
      <selection activeCell="M77" sqref="M77"/>
      <selection pane="bottomLeft" activeCell="I77" sqref="I77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8" width="13" style="48" bestFit="1" customWidth="1"/>
    <col min="9" max="9" width="13.42578125" style="48" bestFit="1" customWidth="1"/>
    <col min="10" max="10" width="8.85546875" style="48"/>
  </cols>
  <sheetData>
    <row r="1" spans="1:9" x14ac:dyDescent="0.25">
      <c r="A1" s="210" t="s">
        <v>275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0" t="s">
        <v>276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10">
        <v>2018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5">
      <c r="B6" s="53" t="s">
        <v>303</v>
      </c>
      <c r="C6" s="53" t="s">
        <v>304</v>
      </c>
      <c r="D6" s="53" t="s">
        <v>305</v>
      </c>
      <c r="E6" s="53" t="s">
        <v>306</v>
      </c>
      <c r="F6" s="53" t="s">
        <v>382</v>
      </c>
      <c r="G6" s="53" t="s">
        <v>424</v>
      </c>
      <c r="H6" s="53" t="s">
        <v>451</v>
      </c>
      <c r="I6" s="53" t="s">
        <v>208</v>
      </c>
    </row>
    <row r="7" spans="1:9" x14ac:dyDescent="0.25">
      <c r="A7" s="47" t="s">
        <v>62</v>
      </c>
    </row>
    <row r="8" spans="1:9" x14ac:dyDescent="0.25">
      <c r="A8" t="s">
        <v>277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f t="shared" ref="I8:I16" si="0">SUM(B8:H8)</f>
        <v>26334.579999999998</v>
      </c>
    </row>
    <row r="9" spans="1:9" x14ac:dyDescent="0.25">
      <c r="A9" t="s">
        <v>278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f t="shared" si="0"/>
        <v>2925</v>
      </c>
    </row>
    <row r="10" spans="1:9" x14ac:dyDescent="0.25">
      <c r="A10" t="s">
        <v>335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f t="shared" si="0"/>
        <v>700</v>
      </c>
    </row>
    <row r="11" spans="1:9" x14ac:dyDescent="0.25">
      <c r="A11" t="s">
        <v>279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f t="shared" si="0"/>
        <v>751910</v>
      </c>
    </row>
    <row r="12" spans="1:9" x14ac:dyDescent="0.25">
      <c r="A12" t="s">
        <v>307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f t="shared" si="0"/>
        <v>253319</v>
      </c>
    </row>
    <row r="13" spans="1:9" x14ac:dyDescent="0.25">
      <c r="A13" t="s">
        <v>280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105">
        <f t="shared" si="0"/>
        <v>35254</v>
      </c>
    </row>
    <row r="14" spans="1:9" x14ac:dyDescent="0.25">
      <c r="A14" t="s">
        <v>433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f t="shared" si="0"/>
        <v>252146.7</v>
      </c>
    </row>
    <row r="15" spans="1:9" x14ac:dyDescent="0.25">
      <c r="A15" t="s">
        <v>434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f t="shared" si="0"/>
        <v>9333.33</v>
      </c>
    </row>
    <row r="16" spans="1:9" x14ac:dyDescent="0.25">
      <c r="A16" t="s">
        <v>435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f t="shared" si="0"/>
        <v>44719.97</v>
      </c>
    </row>
    <row r="17" spans="1:9" x14ac:dyDescent="0.25">
      <c r="A17" s="47" t="s">
        <v>224</v>
      </c>
      <c r="B17" s="50">
        <f t="shared" ref="B17:I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" si="2">SUM(G8:G16)</f>
        <v>227290.61</v>
      </c>
      <c r="H17" s="50">
        <f t="shared" si="1"/>
        <v>239028.62999999998</v>
      </c>
      <c r="I17" s="50">
        <f t="shared" si="1"/>
        <v>1376642.58</v>
      </c>
    </row>
    <row r="19" spans="1:9" x14ac:dyDescent="0.25">
      <c r="A19" s="47" t="s">
        <v>281</v>
      </c>
      <c r="I19" s="48">
        <f>SUM(B19:F19)</f>
        <v>0</v>
      </c>
    </row>
    <row r="20" spans="1:9" x14ac:dyDescent="0.25">
      <c r="A20" t="s">
        <v>283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f>SUM(B20:H20)</f>
        <v>67396.98</v>
      </c>
    </row>
    <row r="21" spans="1:9" x14ac:dyDescent="0.25">
      <c r="A21" t="s">
        <v>282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f>SUM(B21:H21)</f>
        <v>95220</v>
      </c>
    </row>
    <row r="22" spans="1:9" x14ac:dyDescent="0.25">
      <c r="A22" t="s">
        <v>436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f>SUM(B22:H22)</f>
        <v>4534.2</v>
      </c>
    </row>
    <row r="23" spans="1:9" x14ac:dyDescent="0.25">
      <c r="A23" s="47" t="s">
        <v>284</v>
      </c>
      <c r="B23" s="50">
        <f>SUM(B20:B22)</f>
        <v>46377.68</v>
      </c>
      <c r="C23" s="50">
        <f t="shared" ref="C23:I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" si="4">SUM(G20:G22)</f>
        <v>46179.509999999995</v>
      </c>
      <c r="H23" s="50">
        <f t="shared" si="3"/>
        <v>15289.72</v>
      </c>
      <c r="I23" s="50">
        <f t="shared" si="3"/>
        <v>167151.18</v>
      </c>
    </row>
    <row r="25" spans="1:9" ht="15.75" thickBot="1" x14ac:dyDescent="0.3">
      <c r="A25" s="47" t="s">
        <v>212</v>
      </c>
      <c r="B25" s="51">
        <f>B17-B23</f>
        <v>102890.73000000001</v>
      </c>
      <c r="C25" s="51">
        <f t="shared" ref="C25:I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>G17-G23</f>
        <v>181111.09999999998</v>
      </c>
      <c r="H25" s="51">
        <f>H17-H23</f>
        <v>223738.90999999997</v>
      </c>
      <c r="I25" s="51">
        <f t="shared" si="5"/>
        <v>1209491.4000000001</v>
      </c>
    </row>
    <row r="27" spans="1:9" x14ac:dyDescent="0.25">
      <c r="A27" s="47" t="s">
        <v>210</v>
      </c>
    </row>
    <row r="28" spans="1:9" x14ac:dyDescent="0.25">
      <c r="A28" t="s">
        <v>226</v>
      </c>
      <c r="I28" s="48">
        <f>SUM(B28:F28)</f>
        <v>0</v>
      </c>
    </row>
    <row r="29" spans="1:9" x14ac:dyDescent="0.25">
      <c r="A29" t="s">
        <v>285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f t="shared" ref="I29:I34" si="6">SUM(B29:H29)</f>
        <v>60387.05</v>
      </c>
    </row>
    <row r="30" spans="1:9" x14ac:dyDescent="0.25">
      <c r="A30" t="s">
        <v>286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f t="shared" si="6"/>
        <v>6724.4800000000014</v>
      </c>
    </row>
    <row r="31" spans="1:9" x14ac:dyDescent="0.25">
      <c r="A31" t="s">
        <v>287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f t="shared" si="6"/>
        <v>21968.63</v>
      </c>
    </row>
    <row r="32" spans="1:9" x14ac:dyDescent="0.25">
      <c r="A32" t="s">
        <v>288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f t="shared" si="6"/>
        <v>1518.86</v>
      </c>
    </row>
    <row r="33" spans="1:9" x14ac:dyDescent="0.25">
      <c r="A33" t="s">
        <v>334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f t="shared" si="6"/>
        <v>2400</v>
      </c>
    </row>
    <row r="34" spans="1:9" x14ac:dyDescent="0.25">
      <c r="A34" t="s">
        <v>289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108">
        <f t="shared" si="6"/>
        <v>927.56999999999994</v>
      </c>
    </row>
    <row r="35" spans="1:9" x14ac:dyDescent="0.25">
      <c r="A35" s="47" t="s">
        <v>234</v>
      </c>
      <c r="B35" s="50">
        <f>SUM(B29:B34)</f>
        <v>13970.6</v>
      </c>
      <c r="C35" s="50">
        <f t="shared" ref="C35:I35" si="7">SUM(C29:C34)</f>
        <v>12474.9</v>
      </c>
      <c r="D35" s="50">
        <f t="shared" si="7"/>
        <v>14068.6</v>
      </c>
      <c r="E35" s="50">
        <f>SUM(E29:E34)</f>
        <v>13415.130000000001</v>
      </c>
      <c r="F35" s="50">
        <f t="shared" si="7"/>
        <v>13860.41</v>
      </c>
      <c r="G35" s="50">
        <f>SUM(G29:G34)</f>
        <v>12864.44</v>
      </c>
      <c r="H35" s="50">
        <f>SUM(H29:H34)</f>
        <v>13272.51</v>
      </c>
      <c r="I35" s="50">
        <f t="shared" si="7"/>
        <v>93926.590000000011</v>
      </c>
    </row>
    <row r="36" spans="1:9" x14ac:dyDescent="0.25">
      <c r="A36" t="s">
        <v>61</v>
      </c>
    </row>
    <row r="37" spans="1:9" x14ac:dyDescent="0.25">
      <c r="A37" s="47" t="s">
        <v>290</v>
      </c>
    </row>
    <row r="38" spans="1:9" x14ac:dyDescent="0.25">
      <c r="A38" t="s">
        <v>236</v>
      </c>
      <c r="B38" s="48">
        <f t="shared" ref="B38:G38" si="8">25000+12500</f>
        <v>37500</v>
      </c>
      <c r="C38" s="48">
        <f t="shared" si="8"/>
        <v>37500</v>
      </c>
      <c r="D38" s="48">
        <f t="shared" si="8"/>
        <v>37500</v>
      </c>
      <c r="E38" s="48">
        <f t="shared" si="8"/>
        <v>37500</v>
      </c>
      <c r="F38" s="48">
        <f t="shared" si="8"/>
        <v>37500</v>
      </c>
      <c r="G38" s="48">
        <f t="shared" si="8"/>
        <v>37500</v>
      </c>
      <c r="H38" s="48">
        <f>25000+12500</f>
        <v>37500</v>
      </c>
      <c r="I38" s="48">
        <f>SUM(B38:H38)</f>
        <v>262500</v>
      </c>
    </row>
    <row r="39" spans="1:9" x14ac:dyDescent="0.25">
      <c r="A39" t="s">
        <v>291</v>
      </c>
      <c r="B39" s="48">
        <v>8518.2800000000007</v>
      </c>
      <c r="C39" s="48">
        <v>5856.39</v>
      </c>
      <c r="D39" s="48">
        <v>8346.2199999999993</v>
      </c>
      <c r="E39" s="48">
        <v>4857.8599999999997</v>
      </c>
      <c r="F39" s="48">
        <f>5661.41+210.04</f>
        <v>5871.45</v>
      </c>
      <c r="G39" s="48">
        <v>5979.18</v>
      </c>
      <c r="H39" s="48">
        <v>7652.61</v>
      </c>
      <c r="I39" s="48">
        <f>SUM(B39:H39)</f>
        <v>47081.99</v>
      </c>
    </row>
    <row r="40" spans="1:9" x14ac:dyDescent="0.25">
      <c r="A40" t="s">
        <v>292</v>
      </c>
      <c r="B40" s="48">
        <v>150</v>
      </c>
      <c r="C40" s="48">
        <v>150</v>
      </c>
      <c r="D40" s="48">
        <v>150</v>
      </c>
      <c r="E40" s="48">
        <v>150</v>
      </c>
      <c r="F40" s="48">
        <v>150</v>
      </c>
      <c r="G40" s="48">
        <v>150</v>
      </c>
      <c r="H40" s="48">
        <v>150</v>
      </c>
      <c r="I40" s="48">
        <f t="shared" ref="I40:I52" si="9">SUM(B40:H40)</f>
        <v>1050</v>
      </c>
    </row>
    <row r="41" spans="1:9" x14ac:dyDescent="0.25">
      <c r="A41" t="s">
        <v>458</v>
      </c>
      <c r="B41" s="48">
        <v>3575</v>
      </c>
      <c r="C41" s="48">
        <v>0</v>
      </c>
      <c r="D41" s="48">
        <v>1210</v>
      </c>
      <c r="E41" s="48">
        <v>1875</v>
      </c>
      <c r="F41" s="48">
        <v>0</v>
      </c>
      <c r="G41" s="48">
        <v>3844.35</v>
      </c>
      <c r="H41" s="48">
        <v>5810</v>
      </c>
      <c r="I41" s="48">
        <f t="shared" si="9"/>
        <v>16314.35</v>
      </c>
    </row>
    <row r="42" spans="1:9" x14ac:dyDescent="0.25">
      <c r="A42" t="s">
        <v>293</v>
      </c>
      <c r="B42" s="48">
        <v>959.14</v>
      </c>
      <c r="C42" s="48">
        <v>519.59</v>
      </c>
      <c r="D42" s="48">
        <v>1411.26</v>
      </c>
      <c r="E42" s="48">
        <v>2829.73</v>
      </c>
      <c r="F42" s="48">
        <v>1685.25</v>
      </c>
      <c r="G42" s="48">
        <v>10130.58</v>
      </c>
      <c r="H42" s="48">
        <v>1273.76</v>
      </c>
      <c r="I42" s="48">
        <f t="shared" si="9"/>
        <v>18809.309999999998</v>
      </c>
    </row>
    <row r="43" spans="1:9" x14ac:dyDescent="0.25">
      <c r="A43" t="s">
        <v>241</v>
      </c>
      <c r="B43" s="48">
        <v>5394.18</v>
      </c>
      <c r="C43" s="48">
        <v>5394.18</v>
      </c>
      <c r="D43" s="48">
        <v>5394.18</v>
      </c>
      <c r="E43" s="48">
        <v>5394.18</v>
      </c>
      <c r="F43" s="48">
        <v>5394.18</v>
      </c>
      <c r="G43" s="48">
        <v>5394.18</v>
      </c>
      <c r="H43" s="48">
        <v>5019.7700000000004</v>
      </c>
      <c r="I43" s="48">
        <f t="shared" si="9"/>
        <v>37384.850000000006</v>
      </c>
    </row>
    <row r="44" spans="1:9" x14ac:dyDescent="0.25">
      <c r="A44" t="s">
        <v>242</v>
      </c>
      <c r="B44" s="48">
        <v>1568.56</v>
      </c>
      <c r="C44" s="48">
        <v>2423.8000000000002</v>
      </c>
      <c r="D44" s="48">
        <v>2122.8000000000002</v>
      </c>
      <c r="E44" s="48">
        <v>2200</v>
      </c>
      <c r="F44" s="48">
        <v>-1041.1199999999999</v>
      </c>
      <c r="G44" s="48">
        <v>2297.7600000000002</v>
      </c>
      <c r="H44" s="48">
        <v>1026.78</v>
      </c>
      <c r="I44" s="48">
        <f t="shared" si="9"/>
        <v>10598.58</v>
      </c>
    </row>
    <row r="45" spans="1:9" x14ac:dyDescent="0.25">
      <c r="A45" t="s">
        <v>240</v>
      </c>
      <c r="B45" s="48">
        <v>18020.830000000002</v>
      </c>
      <c r="C45" s="48">
        <v>18020.84</v>
      </c>
      <c r="D45" s="48">
        <v>18020.84</v>
      </c>
      <c r="E45" s="48">
        <v>18020.82</v>
      </c>
      <c r="F45" s="48">
        <v>18020.830000000002</v>
      </c>
      <c r="G45" s="48">
        <v>4868.74</v>
      </c>
      <c r="H45" s="48">
        <v>18020.830000000002</v>
      </c>
      <c r="I45" s="48">
        <f t="shared" si="9"/>
        <v>112993.73</v>
      </c>
    </row>
    <row r="46" spans="1:9" x14ac:dyDescent="0.25">
      <c r="A46" t="s">
        <v>243</v>
      </c>
      <c r="B46" s="48">
        <v>5.49</v>
      </c>
      <c r="C46" s="48">
        <v>0</v>
      </c>
      <c r="D46" s="48">
        <v>100.81</v>
      </c>
      <c r="E46" s="48">
        <v>0</v>
      </c>
      <c r="F46" s="48">
        <v>46.17</v>
      </c>
      <c r="G46" s="48">
        <v>0</v>
      </c>
      <c r="H46" s="48">
        <v>0</v>
      </c>
      <c r="I46" s="48">
        <f t="shared" si="9"/>
        <v>152.47</v>
      </c>
    </row>
    <row r="47" spans="1:9" x14ac:dyDescent="0.25">
      <c r="A47" t="s">
        <v>250</v>
      </c>
      <c r="B47" s="48">
        <v>7320.8</v>
      </c>
      <c r="C47" s="48">
        <v>7321.95</v>
      </c>
      <c r="D47" s="48">
        <v>6956.8</v>
      </c>
      <c r="E47" s="48">
        <v>7611.52</v>
      </c>
      <c r="F47" s="48">
        <v>7241.42</v>
      </c>
      <c r="G47" s="48">
        <v>7612.47</v>
      </c>
      <c r="H47" s="48">
        <v>6608</v>
      </c>
      <c r="I47" s="48">
        <f t="shared" si="9"/>
        <v>50672.959999999999</v>
      </c>
    </row>
    <row r="48" spans="1:9" x14ac:dyDescent="0.25">
      <c r="A48" t="s">
        <v>244</v>
      </c>
      <c r="B48" s="48">
        <v>649.54999999999995</v>
      </c>
      <c r="C48" s="48">
        <v>160.78</v>
      </c>
      <c r="D48" s="48">
        <v>278.7</v>
      </c>
      <c r="E48" s="48">
        <v>536.80999999999995</v>
      </c>
      <c r="F48" s="48">
        <v>160.78</v>
      </c>
      <c r="G48" s="48">
        <v>160.78</v>
      </c>
      <c r="H48" s="48">
        <v>436.05</v>
      </c>
      <c r="I48" s="48">
        <f t="shared" si="9"/>
        <v>2383.4499999999998</v>
      </c>
    </row>
    <row r="49" spans="1:9" x14ac:dyDescent="0.25">
      <c r="A49" t="s">
        <v>294</v>
      </c>
      <c r="B49" s="48">
        <v>9962.11</v>
      </c>
      <c r="C49" s="48">
        <v>10391.68</v>
      </c>
      <c r="D49" s="48">
        <v>10391.68</v>
      </c>
      <c r="E49" s="48">
        <v>10391.68</v>
      </c>
      <c r="F49" s="48">
        <v>10581.56</v>
      </c>
      <c r="G49" s="48">
        <v>10811.59</v>
      </c>
      <c r="H49" s="48">
        <v>10493.31</v>
      </c>
      <c r="I49" s="48">
        <f t="shared" si="9"/>
        <v>73023.61</v>
      </c>
    </row>
    <row r="50" spans="1:9" x14ac:dyDescent="0.25">
      <c r="A50" t="s">
        <v>297</v>
      </c>
      <c r="B50" s="48">
        <v>1351.56</v>
      </c>
      <c r="C50" s="48">
        <v>1938.84</v>
      </c>
      <c r="D50" s="48">
        <v>1938.84</v>
      </c>
      <c r="E50" s="48">
        <v>1937.28</v>
      </c>
      <c r="F50" s="48">
        <v>1939.84</v>
      </c>
      <c r="G50" s="48">
        <v>1568.58</v>
      </c>
      <c r="H50" s="48">
        <v>836.4</v>
      </c>
      <c r="I50" s="48">
        <f t="shared" si="9"/>
        <v>11511.339999999998</v>
      </c>
    </row>
    <row r="51" spans="1:9" x14ac:dyDescent="0.25">
      <c r="A51" t="s">
        <v>264</v>
      </c>
      <c r="B51" s="48">
        <v>1018.09</v>
      </c>
      <c r="C51" s="48">
        <v>1018.09</v>
      </c>
      <c r="D51" s="48">
        <v>1018.09</v>
      </c>
      <c r="E51" s="48">
        <v>1049.5999999999999</v>
      </c>
      <c r="F51" s="48">
        <v>316.17</v>
      </c>
      <c r="G51" s="48">
        <v>236.46</v>
      </c>
      <c r="H51" s="48">
        <v>2820.43</v>
      </c>
      <c r="I51" s="48">
        <f t="shared" si="9"/>
        <v>7476.93</v>
      </c>
    </row>
    <row r="52" spans="1:9" x14ac:dyDescent="0.25">
      <c r="A52" t="s">
        <v>391</v>
      </c>
      <c r="B52" s="48">
        <v>0</v>
      </c>
      <c r="C52" s="48">
        <v>0</v>
      </c>
      <c r="D52" s="48">
        <v>0</v>
      </c>
      <c r="E52" s="48">
        <v>0</v>
      </c>
      <c r="F52" s="48">
        <v>920.12</v>
      </c>
      <c r="G52" s="48">
        <v>3023.66</v>
      </c>
      <c r="H52" s="48">
        <v>560.84</v>
      </c>
      <c r="I52" s="108">
        <f t="shared" si="9"/>
        <v>4504.62</v>
      </c>
    </row>
    <row r="53" spans="1:9" x14ac:dyDescent="0.25">
      <c r="A53" s="47" t="s">
        <v>336</v>
      </c>
      <c r="B53" s="50">
        <f t="shared" ref="B53:I53" si="10">SUM(B38:B52)</f>
        <v>95993.59</v>
      </c>
      <c r="C53" s="50">
        <f t="shared" si="10"/>
        <v>90696.139999999985</v>
      </c>
      <c r="D53" s="50">
        <f t="shared" si="10"/>
        <v>94840.22</v>
      </c>
      <c r="E53" s="50">
        <f t="shared" si="10"/>
        <v>94354.48000000001</v>
      </c>
      <c r="F53" s="50">
        <f t="shared" si="10"/>
        <v>88786.64999999998</v>
      </c>
      <c r="G53" s="50">
        <f>SUM(G38:G52)</f>
        <v>93578.330000000016</v>
      </c>
      <c r="H53" s="50">
        <f>SUM(H38:H52)</f>
        <v>98208.779999999984</v>
      </c>
      <c r="I53" s="50">
        <f t="shared" si="10"/>
        <v>656458.18999999994</v>
      </c>
    </row>
    <row r="55" spans="1:9" x14ac:dyDescent="0.25">
      <c r="A55" s="47" t="s">
        <v>295</v>
      </c>
    </row>
    <row r="56" spans="1:9" x14ac:dyDescent="0.25">
      <c r="A56" t="s">
        <v>253</v>
      </c>
      <c r="B56" s="48">
        <v>231.6</v>
      </c>
      <c r="C56" s="48">
        <v>181.9</v>
      </c>
      <c r="D56" s="48">
        <v>151.94999999999999</v>
      </c>
      <c r="E56" s="48">
        <v>135.54</v>
      </c>
      <c r="F56" s="48">
        <v>147.36000000000001</v>
      </c>
      <c r="G56" s="48">
        <v>135.63999999999999</v>
      </c>
      <c r="H56" s="48">
        <v>141.44999999999999</v>
      </c>
      <c r="I56" s="48">
        <f>SUM(B56:H56)</f>
        <v>1125.44</v>
      </c>
    </row>
    <row r="57" spans="1:9" x14ac:dyDescent="0.25">
      <c r="A57" t="s">
        <v>254</v>
      </c>
      <c r="B57" s="48">
        <v>763.06</v>
      </c>
      <c r="C57" s="48">
        <v>700.02</v>
      </c>
      <c r="D57" s="48">
        <v>701.8</v>
      </c>
      <c r="E57" s="48">
        <v>709.3</v>
      </c>
      <c r="F57" s="48">
        <v>754.79</v>
      </c>
      <c r="G57" s="48">
        <v>696.33</v>
      </c>
      <c r="H57" s="48">
        <v>758.24</v>
      </c>
      <c r="I57" s="48">
        <f t="shared" ref="I57:I65" si="11">SUM(B57:H57)</f>
        <v>5083.54</v>
      </c>
    </row>
    <row r="58" spans="1:9" x14ac:dyDescent="0.25">
      <c r="A58" t="s">
        <v>296</v>
      </c>
      <c r="B58" s="48">
        <v>0</v>
      </c>
      <c r="C58" s="48">
        <v>0</v>
      </c>
      <c r="D58" s="48">
        <v>0</v>
      </c>
      <c r="E58" s="48">
        <v>300</v>
      </c>
      <c r="F58" s="48">
        <v>0</v>
      </c>
      <c r="G58" s="48">
        <v>0</v>
      </c>
      <c r="H58" s="48">
        <v>0</v>
      </c>
      <c r="I58" s="48">
        <f t="shared" si="11"/>
        <v>300</v>
      </c>
    </row>
    <row r="59" spans="1:9" x14ac:dyDescent="0.25">
      <c r="A59" t="s">
        <v>308</v>
      </c>
      <c r="B59" s="48">
        <v>0</v>
      </c>
      <c r="C59" s="48">
        <v>1250</v>
      </c>
      <c r="D59" s="48">
        <v>0</v>
      </c>
      <c r="E59" s="48">
        <v>0</v>
      </c>
      <c r="F59" s="48">
        <v>0</v>
      </c>
      <c r="G59" s="48">
        <v>0</v>
      </c>
      <c r="H59" s="48">
        <v>4000</v>
      </c>
      <c r="I59" s="48">
        <f t="shared" si="11"/>
        <v>5250</v>
      </c>
    </row>
    <row r="60" spans="1:9" x14ac:dyDescent="0.25">
      <c r="A60" t="s">
        <v>365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-5776.56</v>
      </c>
      <c r="H60" s="48">
        <v>0</v>
      </c>
      <c r="I60" s="48">
        <f t="shared" si="11"/>
        <v>-5776.56</v>
      </c>
    </row>
    <row r="61" spans="1:9" x14ac:dyDescent="0.25">
      <c r="A61" t="s">
        <v>392</v>
      </c>
      <c r="B61" s="48">
        <v>5000</v>
      </c>
      <c r="C61" s="48">
        <v>5000</v>
      </c>
      <c r="D61" s="48">
        <v>5000</v>
      </c>
      <c r="E61" s="48">
        <v>5000</v>
      </c>
      <c r="F61" s="48">
        <v>5000</v>
      </c>
      <c r="G61" s="48">
        <v>4000</v>
      </c>
      <c r="H61" s="48">
        <v>4000</v>
      </c>
      <c r="I61" s="48">
        <f t="shared" si="11"/>
        <v>33000</v>
      </c>
    </row>
    <row r="62" spans="1:9" x14ac:dyDescent="0.25">
      <c r="A62" t="s">
        <v>364</v>
      </c>
      <c r="B62" s="48">
        <v>2250</v>
      </c>
      <c r="C62" s="48">
        <v>2250</v>
      </c>
      <c r="D62" s="48">
        <v>2250</v>
      </c>
      <c r="E62" s="48">
        <v>2250</v>
      </c>
      <c r="F62" s="48">
        <v>2250</v>
      </c>
      <c r="G62" s="48">
        <v>2250</v>
      </c>
      <c r="H62" s="48">
        <v>2250</v>
      </c>
      <c r="I62" s="48">
        <f t="shared" si="11"/>
        <v>15750</v>
      </c>
    </row>
    <row r="63" spans="1:9" x14ac:dyDescent="0.25">
      <c r="A63" t="s">
        <v>393</v>
      </c>
      <c r="B63" s="48">
        <v>791.67</v>
      </c>
      <c r="C63" s="48">
        <v>791.67</v>
      </c>
      <c r="D63" s="48">
        <v>791.67</v>
      </c>
      <c r="E63" s="48">
        <v>791.67</v>
      </c>
      <c r="F63" s="48">
        <f>8791.67-8000.01</f>
        <v>791.65999999999985</v>
      </c>
      <c r="G63" s="48">
        <v>666.67</v>
      </c>
      <c r="H63" s="48">
        <v>666.67</v>
      </c>
      <c r="I63" s="48">
        <f t="shared" si="11"/>
        <v>5291.6799999999994</v>
      </c>
    </row>
    <row r="64" spans="1:9" x14ac:dyDescent="0.25">
      <c r="A64" t="s">
        <v>394</v>
      </c>
      <c r="B64" s="48">
        <v>109</v>
      </c>
      <c r="C64" s="48">
        <v>0</v>
      </c>
      <c r="D64" s="48">
        <v>40</v>
      </c>
      <c r="E64" s="48">
        <v>0</v>
      </c>
      <c r="F64" s="48">
        <v>0</v>
      </c>
      <c r="G64" s="48">
        <v>0</v>
      </c>
      <c r="H64" s="48">
        <v>0</v>
      </c>
      <c r="I64" s="48">
        <f t="shared" si="11"/>
        <v>149</v>
      </c>
    </row>
    <row r="65" spans="1:10" x14ac:dyDescent="0.25">
      <c r="A65" t="s">
        <v>258</v>
      </c>
      <c r="B65" s="48">
        <v>225</v>
      </c>
      <c r="C65" s="48">
        <v>352.5</v>
      </c>
      <c r="D65" s="48">
        <v>0</v>
      </c>
      <c r="E65" s="48">
        <v>0</v>
      </c>
      <c r="F65" s="48">
        <v>0</v>
      </c>
      <c r="G65" s="48">
        <v>650</v>
      </c>
      <c r="H65" s="48">
        <v>0</v>
      </c>
      <c r="I65" s="108">
        <f t="shared" si="11"/>
        <v>1227.5</v>
      </c>
    </row>
    <row r="66" spans="1:10" x14ac:dyDescent="0.25">
      <c r="A66" s="47" t="s">
        <v>298</v>
      </c>
      <c r="B66" s="50">
        <f>SUM(B56:B65)</f>
        <v>9370.33</v>
      </c>
      <c r="C66" s="50">
        <f t="shared" ref="C66:I66" si="12">SUM(C56:C65)</f>
        <v>10526.09</v>
      </c>
      <c r="D66" s="50">
        <f t="shared" si="12"/>
        <v>8935.42</v>
      </c>
      <c r="E66" s="50">
        <f>SUM(E56:E65)</f>
        <v>9186.51</v>
      </c>
      <c r="F66" s="50">
        <f t="shared" si="12"/>
        <v>8943.81</v>
      </c>
      <c r="G66" s="50">
        <f>SUM(G56:G65)</f>
        <v>2622.08</v>
      </c>
      <c r="H66" s="50">
        <f>SUM(H56:H65)</f>
        <v>11816.36</v>
      </c>
      <c r="I66" s="50">
        <f t="shared" si="12"/>
        <v>61400.6</v>
      </c>
    </row>
    <row r="67" spans="1:10" x14ac:dyDescent="0.25">
      <c r="A67" t="s">
        <v>247</v>
      </c>
    </row>
    <row r="68" spans="1:10" ht="15.75" thickBot="1" x14ac:dyDescent="0.3">
      <c r="A68" s="47" t="s">
        <v>211</v>
      </c>
      <c r="B68" s="51">
        <f t="shared" ref="B68:I68" si="13">B35+B53+B66</f>
        <v>119334.52</v>
      </c>
      <c r="C68" s="51">
        <f t="shared" si="13"/>
        <v>113697.12999999998</v>
      </c>
      <c r="D68" s="51">
        <f t="shared" si="13"/>
        <v>117844.24</v>
      </c>
      <c r="E68" s="51">
        <f t="shared" si="13"/>
        <v>116956.12000000001</v>
      </c>
      <c r="F68" s="51">
        <f t="shared" si="13"/>
        <v>111590.86999999998</v>
      </c>
      <c r="G68" s="51">
        <f>G35+G53+G66</f>
        <v>109064.85000000002</v>
      </c>
      <c r="H68" s="51">
        <f>H35+H53+H66</f>
        <v>123297.64999999998</v>
      </c>
      <c r="I68" s="51">
        <f t="shared" si="13"/>
        <v>811785.37999999989</v>
      </c>
    </row>
    <row r="70" spans="1:10" x14ac:dyDescent="0.25">
      <c r="A70" s="47" t="s">
        <v>299</v>
      </c>
    </row>
    <row r="71" spans="1:10" x14ac:dyDescent="0.25">
      <c r="A71" t="s">
        <v>300</v>
      </c>
      <c r="B71" s="48">
        <v>12500</v>
      </c>
      <c r="C71" s="48">
        <v>12500</v>
      </c>
      <c r="D71" s="48">
        <v>12500</v>
      </c>
      <c r="E71" s="48">
        <v>12500</v>
      </c>
      <c r="F71" s="48">
        <v>12500</v>
      </c>
      <c r="G71" s="48">
        <v>12500</v>
      </c>
      <c r="H71" s="48">
        <v>12500</v>
      </c>
      <c r="I71" s="48">
        <f>SUM(B71:H71)</f>
        <v>87500</v>
      </c>
    </row>
    <row r="72" spans="1:10" x14ac:dyDescent="0.25">
      <c r="A72" t="s">
        <v>272</v>
      </c>
      <c r="B72" s="48">
        <v>2109.7199999999998</v>
      </c>
      <c r="C72" s="48">
        <v>2488.89</v>
      </c>
      <c r="D72" s="48">
        <v>2770.21</v>
      </c>
      <c r="E72" s="48">
        <v>2666.67</v>
      </c>
      <c r="F72" s="48">
        <v>2755.56</v>
      </c>
      <c r="G72" s="48">
        <v>2666.67</v>
      </c>
      <c r="H72" s="48">
        <v>2755.56</v>
      </c>
      <c r="I72" s="48">
        <f>SUM(B72:H72)</f>
        <v>18213.28</v>
      </c>
    </row>
    <row r="73" spans="1:10" x14ac:dyDescent="0.25">
      <c r="A73" s="47" t="s">
        <v>301</v>
      </c>
      <c r="B73" s="50">
        <f>SUM(B71:B72)</f>
        <v>14609.72</v>
      </c>
      <c r="C73" s="50">
        <f t="shared" ref="C73:I73" si="14">SUM(C71:C72)</f>
        <v>14988.89</v>
      </c>
      <c r="D73" s="50">
        <f t="shared" si="14"/>
        <v>15270.21</v>
      </c>
      <c r="E73" s="50">
        <f>SUM(E71:E72)</f>
        <v>15166.67</v>
      </c>
      <c r="F73" s="50">
        <f t="shared" si="14"/>
        <v>15255.56</v>
      </c>
      <c r="G73" s="50">
        <f>SUM(G71:G72)</f>
        <v>15166.67</v>
      </c>
      <c r="H73" s="50">
        <f>SUM(H71:H72)</f>
        <v>15255.56</v>
      </c>
      <c r="I73" s="50">
        <f t="shared" si="14"/>
        <v>105713.28</v>
      </c>
    </row>
    <row r="75" spans="1:10" ht="15.75" thickBot="1" x14ac:dyDescent="0.3">
      <c r="A75" s="47" t="s">
        <v>302</v>
      </c>
      <c r="B75" s="52">
        <f t="shared" ref="B75:I75" si="15">B25-B68+B73</f>
        <v>-1834.0699999999943</v>
      </c>
      <c r="C75" s="52">
        <f t="shared" si="15"/>
        <v>8655.3500000000204</v>
      </c>
      <c r="D75" s="52">
        <f t="shared" si="15"/>
        <v>83095.280000000028</v>
      </c>
      <c r="E75" s="52">
        <f t="shared" si="15"/>
        <v>32817.569999999978</v>
      </c>
      <c r="F75" s="52">
        <f t="shared" si="15"/>
        <v>177775.43</v>
      </c>
      <c r="G75" s="52">
        <f>G25-G68+G73</f>
        <v>87212.919999999955</v>
      </c>
      <c r="H75" s="52">
        <f>H25-H68+H73</f>
        <v>115696.81999999999</v>
      </c>
      <c r="I75" s="52">
        <f t="shared" si="15"/>
        <v>503419.30000000028</v>
      </c>
      <c r="J75"/>
    </row>
    <row r="76" spans="1:10" ht="15.75" thickTop="1" x14ac:dyDescent="0.25"/>
    <row r="77" spans="1:10" x14ac:dyDescent="0.25">
      <c r="B77" s="48">
        <v>-1834.07</v>
      </c>
      <c r="C77" s="48">
        <v>8655.35</v>
      </c>
      <c r="D77" s="48">
        <v>83095.28</v>
      </c>
      <c r="E77" s="48">
        <v>32817.57</v>
      </c>
      <c r="F77" s="48">
        <v>177775.43</v>
      </c>
      <c r="G77" s="48">
        <v>87212.92</v>
      </c>
      <c r="H77" s="48">
        <v>115696.82</v>
      </c>
      <c r="I77" s="48">
        <v>503419.3</v>
      </c>
    </row>
    <row r="78" spans="1:10" x14ac:dyDescent="0.25">
      <c r="B78" s="111">
        <f>ROUND((B77-B75),2)</f>
        <v>0</v>
      </c>
      <c r="C78" s="111">
        <f t="shared" ref="C78:I78" si="16">ROUND((C77-C75),2)</f>
        <v>0</v>
      </c>
      <c r="D78" s="111">
        <f t="shared" si="16"/>
        <v>0</v>
      </c>
      <c r="E78" s="111">
        <f t="shared" si="16"/>
        <v>0</v>
      </c>
      <c r="F78" s="111">
        <f t="shared" si="16"/>
        <v>0</v>
      </c>
      <c r="G78" s="111">
        <f t="shared" ref="G78" si="17">ROUND((G77-G75),2)</f>
        <v>0</v>
      </c>
      <c r="H78" s="111">
        <f t="shared" si="16"/>
        <v>0</v>
      </c>
      <c r="I78" s="111">
        <f t="shared" si="16"/>
        <v>0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L62"/>
  <sheetViews>
    <sheetView view="pageBreakPreview" zoomScaleNormal="100" zoomScaleSheetLayoutView="100" workbookViewId="0">
      <pane ySplit="6" topLeftCell="A37" activePane="bottomLeft" state="frozen"/>
      <selection activeCell="M77" sqref="M77"/>
      <selection pane="bottomLeft" activeCell="D67" sqref="D67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8" width="15.28515625" style="48" bestFit="1" customWidth="1"/>
    <col min="9" max="9" width="15.42578125" style="48" bestFit="1" customWidth="1"/>
    <col min="10" max="10" width="8.85546875" style="48"/>
    <col min="11" max="12" width="11.5703125" bestFit="1" customWidth="1"/>
  </cols>
  <sheetData>
    <row r="1" spans="1:9" x14ac:dyDescent="0.25">
      <c r="A1" s="210" t="s">
        <v>338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0" t="s">
        <v>276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10">
        <v>2018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5">
      <c r="B6" s="53" t="s">
        <v>303</v>
      </c>
      <c r="C6" s="53" t="s">
        <v>304</v>
      </c>
      <c r="D6" s="53" t="s">
        <v>305</v>
      </c>
      <c r="E6" s="53" t="s">
        <v>306</v>
      </c>
      <c r="F6" s="53" t="s">
        <v>382</v>
      </c>
      <c r="G6" s="53" t="s">
        <v>424</v>
      </c>
      <c r="H6" s="53" t="s">
        <v>451</v>
      </c>
      <c r="I6" s="53" t="s">
        <v>208</v>
      </c>
    </row>
    <row r="7" spans="1:9" x14ac:dyDescent="0.25">
      <c r="A7" s="47" t="s">
        <v>62</v>
      </c>
    </row>
    <row r="8" spans="1:9" x14ac:dyDescent="0.25">
      <c r="A8" t="s">
        <v>310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f>SUM(B8:H8)</f>
        <v>49588422.420000002</v>
      </c>
    </row>
    <row r="9" spans="1:9" x14ac:dyDescent="0.25">
      <c r="A9" t="s">
        <v>318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f t="shared" ref="I9:I14" si="0">SUM(B9:H9)</f>
        <v>2315412.0999999996</v>
      </c>
    </row>
    <row r="10" spans="1:9" x14ac:dyDescent="0.25">
      <c r="A10" t="s">
        <v>319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f t="shared" si="0"/>
        <v>238623.53</v>
      </c>
    </row>
    <row r="11" spans="1:9" x14ac:dyDescent="0.25">
      <c r="A11" t="s">
        <v>383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f t="shared" si="0"/>
        <v>12906.5</v>
      </c>
    </row>
    <row r="12" spans="1:9" x14ac:dyDescent="0.25">
      <c r="A12" t="s">
        <v>320</v>
      </c>
      <c r="B12" s="48">
        <v>658</v>
      </c>
      <c r="C12" s="48">
        <v>1919</v>
      </c>
      <c r="D12" s="48">
        <v>477</v>
      </c>
      <c r="E12" s="48">
        <v>592.5</v>
      </c>
      <c r="F12" s="48">
        <f>1227.5</f>
        <v>1227.5</v>
      </c>
      <c r="G12" s="48">
        <v>268</v>
      </c>
      <c r="H12" s="48">
        <f>1265+1473</f>
        <v>2738</v>
      </c>
      <c r="I12" s="48">
        <f t="shared" si="0"/>
        <v>7880</v>
      </c>
    </row>
    <row r="13" spans="1:9" x14ac:dyDescent="0.25">
      <c r="A13" t="s">
        <v>321</v>
      </c>
      <c r="B13" s="48">
        <v>59302.75</v>
      </c>
      <c r="C13" s="48">
        <v>176078.5</v>
      </c>
      <c r="D13" s="48">
        <v>289922.25</v>
      </c>
      <c r="E13" s="48">
        <v>364686</v>
      </c>
      <c r="F13" s="48">
        <v>414150.75</v>
      </c>
      <c r="G13" s="48">
        <v>437152</v>
      </c>
      <c r="H13" s="48">
        <v>559001.75</v>
      </c>
      <c r="I13" s="48">
        <f t="shared" si="0"/>
        <v>2300294</v>
      </c>
    </row>
    <row r="14" spans="1:9" x14ac:dyDescent="0.25">
      <c r="A14" t="s">
        <v>322</v>
      </c>
      <c r="B14" s="48">
        <v>-878.76</v>
      </c>
      <c r="C14" s="48">
        <v>0</v>
      </c>
      <c r="D14" s="48">
        <v>0</v>
      </c>
      <c r="E14" s="48">
        <v>-5916</v>
      </c>
      <c r="F14" s="48">
        <v>0</v>
      </c>
      <c r="G14" s="48">
        <v>-50883.01</v>
      </c>
      <c r="H14" s="48">
        <v>-5495.2</v>
      </c>
      <c r="I14" s="48">
        <f t="shared" si="0"/>
        <v>-63172.97</v>
      </c>
    </row>
    <row r="15" spans="1:9" x14ac:dyDescent="0.25">
      <c r="A15" s="47" t="s">
        <v>224</v>
      </c>
      <c r="B15" s="50">
        <f t="shared" ref="B15:I15" si="1">SUM(B8:B14)</f>
        <v>1615606.79</v>
      </c>
      <c r="C15" s="50">
        <f t="shared" si="1"/>
        <v>4417633.34</v>
      </c>
      <c r="D15" s="50">
        <f t="shared" si="1"/>
        <v>7244841.3899999997</v>
      </c>
      <c r="E15" s="50">
        <f t="shared" si="1"/>
        <v>7911141.6199999992</v>
      </c>
      <c r="F15" s="50">
        <f>SUM(F8:F14)</f>
        <v>9659427.5</v>
      </c>
      <c r="G15" s="50">
        <f>SUM(G8:G14)</f>
        <v>10839472.18</v>
      </c>
      <c r="H15" s="50">
        <f t="shared" si="1"/>
        <v>12712242.760000002</v>
      </c>
      <c r="I15" s="50">
        <f t="shared" si="1"/>
        <v>54400365.580000006</v>
      </c>
    </row>
    <row r="17" spans="1:9" x14ac:dyDescent="0.25">
      <c r="A17" s="47" t="s">
        <v>281</v>
      </c>
      <c r="I17" s="48">
        <f>SUM(B17:H17)</f>
        <v>0</v>
      </c>
    </row>
    <row r="18" spans="1:9" x14ac:dyDescent="0.25">
      <c r="A18" t="s">
        <v>311</v>
      </c>
      <c r="B18" s="48">
        <v>1244716.24</v>
      </c>
      <c r="C18" s="48">
        <v>3821573.32</v>
      </c>
      <c r="D18" s="48">
        <v>6368245.5999999996</v>
      </c>
      <c r="E18" s="48">
        <v>7185367.1200000001</v>
      </c>
      <c r="F18" s="48">
        <v>8899243.3100000005</v>
      </c>
      <c r="G18" s="48">
        <v>10161491.619999999</v>
      </c>
      <c r="H18" s="48">
        <v>11745247.939999999</v>
      </c>
      <c r="I18" s="48">
        <f>SUM(B18:H18)</f>
        <v>49425885.149999999</v>
      </c>
    </row>
    <row r="19" spans="1:9" x14ac:dyDescent="0.25">
      <c r="A19" t="s">
        <v>312</v>
      </c>
      <c r="B19" s="48">
        <v>220469.8</v>
      </c>
      <c r="C19" s="48">
        <v>359444.27</v>
      </c>
      <c r="D19" s="48">
        <v>528840.88</v>
      </c>
      <c r="E19" s="48">
        <v>274773.03000000003</v>
      </c>
      <c r="F19" s="48">
        <v>264969.81</v>
      </c>
      <c r="G19" s="48">
        <v>165716.99</v>
      </c>
      <c r="H19" s="48">
        <v>318210.40000000002</v>
      </c>
      <c r="I19" s="48">
        <f t="shared" ref="I19:I32" si="2">SUM(B19:H19)</f>
        <v>2132425.1800000002</v>
      </c>
    </row>
    <row r="20" spans="1:9" x14ac:dyDescent="0.25">
      <c r="A20" t="s">
        <v>313</v>
      </c>
      <c r="B20" s="48">
        <v>58837.5</v>
      </c>
      <c r="C20" s="48">
        <v>16027.01</v>
      </c>
      <c r="D20" s="48">
        <v>26000.22</v>
      </c>
      <c r="E20" s="48">
        <v>51375.17</v>
      </c>
      <c r="F20" s="48">
        <v>34978.86</v>
      </c>
      <c r="G20" s="48">
        <v>13617.04</v>
      </c>
      <c r="H20" s="48">
        <v>23523.99</v>
      </c>
      <c r="I20" s="48">
        <f t="shared" si="2"/>
        <v>224359.79</v>
      </c>
    </row>
    <row r="21" spans="1:9" x14ac:dyDescent="0.25">
      <c r="A21" t="s">
        <v>384</v>
      </c>
      <c r="B21" s="48">
        <v>0</v>
      </c>
      <c r="C21" s="48">
        <v>0</v>
      </c>
      <c r="D21" s="48">
        <v>0</v>
      </c>
      <c r="E21" s="48">
        <v>0</v>
      </c>
      <c r="F21" s="48">
        <v>2079</v>
      </c>
      <c r="G21" s="48">
        <v>2011</v>
      </c>
      <c r="H21" s="48">
        <v>4004</v>
      </c>
      <c r="I21" s="48">
        <f t="shared" si="2"/>
        <v>8094</v>
      </c>
    </row>
    <row r="22" spans="1:9" x14ac:dyDescent="0.25">
      <c r="A22" t="s">
        <v>314</v>
      </c>
      <c r="B22" s="48">
        <v>658</v>
      </c>
      <c r="C22" s="48">
        <v>1919</v>
      </c>
      <c r="D22" s="48">
        <v>477</v>
      </c>
      <c r="E22" s="48">
        <v>592.5</v>
      </c>
      <c r="F22" s="48">
        <v>1227.5</v>
      </c>
      <c r="G22" s="48">
        <v>268</v>
      </c>
      <c r="H22" s="48">
        <v>1265</v>
      </c>
      <c r="I22" s="48">
        <f t="shared" si="2"/>
        <v>6407</v>
      </c>
    </row>
    <row r="23" spans="1:9" x14ac:dyDescent="0.25">
      <c r="A23" t="s">
        <v>283</v>
      </c>
      <c r="B23" s="48">
        <v>19986.22</v>
      </c>
      <c r="C23" s="48">
        <v>12338.52</v>
      </c>
      <c r="D23" s="48">
        <v>39850.800000000003</v>
      </c>
      <c r="E23" s="48">
        <v>28631.47</v>
      </c>
      <c r="F23" s="48">
        <v>35548.99</v>
      </c>
      <c r="G23" s="48">
        <v>67302.78</v>
      </c>
      <c r="H23" s="48">
        <v>60835.25</v>
      </c>
      <c r="I23" s="48">
        <f t="shared" si="2"/>
        <v>264494.03000000003</v>
      </c>
    </row>
    <row r="24" spans="1:9" x14ac:dyDescent="0.25">
      <c r="A24" t="s">
        <v>315</v>
      </c>
      <c r="B24" s="48">
        <v>-3444.15</v>
      </c>
      <c r="C24" s="48">
        <v>79.5</v>
      </c>
      <c r="D24" s="48">
        <v>-574</v>
      </c>
      <c r="E24" s="48">
        <v>602.98</v>
      </c>
      <c r="F24" s="48">
        <v>-2955.7</v>
      </c>
      <c r="G24" s="48">
        <v>-1504.23</v>
      </c>
      <c r="H24" s="48">
        <v>-2531.09</v>
      </c>
      <c r="I24" s="48">
        <f t="shared" si="2"/>
        <v>-10326.69</v>
      </c>
    </row>
    <row r="25" spans="1:9" x14ac:dyDescent="0.25">
      <c r="A25" t="s">
        <v>436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4018.23</v>
      </c>
      <c r="I25" s="48">
        <f>SUM(B25:H25)</f>
        <v>4018.23</v>
      </c>
    </row>
    <row r="26" spans="1:9" x14ac:dyDescent="0.25">
      <c r="A26" t="s">
        <v>386</v>
      </c>
      <c r="B26" s="48">
        <v>0</v>
      </c>
      <c r="C26" s="48">
        <v>0</v>
      </c>
      <c r="D26" s="48">
        <v>0</v>
      </c>
      <c r="E26" s="48">
        <v>820.8</v>
      </c>
      <c r="F26" s="48">
        <v>0</v>
      </c>
      <c r="G26" s="48">
        <v>0</v>
      </c>
      <c r="H26" s="48">
        <v>0</v>
      </c>
      <c r="I26" s="48">
        <f t="shared" si="2"/>
        <v>820.8</v>
      </c>
    </row>
    <row r="27" spans="1:9" x14ac:dyDescent="0.25">
      <c r="A27" t="s">
        <v>456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350</v>
      </c>
      <c r="I27" s="48">
        <f t="shared" si="2"/>
        <v>350</v>
      </c>
    </row>
    <row r="28" spans="1:9" x14ac:dyDescent="0.25">
      <c r="A28" t="s">
        <v>387</v>
      </c>
      <c r="B28" s="48">
        <v>0</v>
      </c>
      <c r="C28" s="48">
        <v>1.92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f t="shared" si="2"/>
        <v>1.92</v>
      </c>
    </row>
    <row r="29" spans="1:9" x14ac:dyDescent="0.25">
      <c r="A29" t="s">
        <v>316</v>
      </c>
      <c r="B29" s="48">
        <v>720.74</v>
      </c>
      <c r="C29" s="48">
        <f>-1643.32</f>
        <v>-1643.32</v>
      </c>
      <c r="D29" s="48">
        <v>3077.78</v>
      </c>
      <c r="E29" s="48">
        <v>0</v>
      </c>
      <c r="F29" s="48">
        <f>-173.2</f>
        <v>-173.2</v>
      </c>
      <c r="G29" s="48">
        <v>1377.51</v>
      </c>
      <c r="H29" s="48">
        <v>0</v>
      </c>
      <c r="I29" s="48">
        <f>SUM(B29:H29)</f>
        <v>3359.51</v>
      </c>
    </row>
    <row r="30" spans="1:9" x14ac:dyDescent="0.25">
      <c r="A30" t="s">
        <v>327</v>
      </c>
      <c r="B30" s="48">
        <v>0</v>
      </c>
      <c r="C30" s="48">
        <v>0</v>
      </c>
      <c r="D30" s="48">
        <v>-3.34</v>
      </c>
      <c r="E30" s="48">
        <v>0</v>
      </c>
      <c r="F30" s="48">
        <v>-38.909999999999997</v>
      </c>
      <c r="G30" s="48">
        <v>0</v>
      </c>
      <c r="H30" s="48">
        <v>-14.22</v>
      </c>
      <c r="I30" s="48">
        <f t="shared" si="2"/>
        <v>-56.47</v>
      </c>
    </row>
    <row r="31" spans="1:9" x14ac:dyDescent="0.25">
      <c r="A31" t="s">
        <v>385</v>
      </c>
      <c r="B31" s="48">
        <v>0</v>
      </c>
      <c r="C31" s="48">
        <v>0</v>
      </c>
      <c r="D31" s="48">
        <v>0</v>
      </c>
      <c r="E31" s="48">
        <v>0</v>
      </c>
      <c r="F31" s="48">
        <v>-4.2</v>
      </c>
      <c r="G31" s="48">
        <v>0</v>
      </c>
      <c r="H31" s="48">
        <v>-74.81</v>
      </c>
      <c r="I31" s="48">
        <f t="shared" si="2"/>
        <v>-79.010000000000005</v>
      </c>
    </row>
    <row r="32" spans="1:9" x14ac:dyDescent="0.25">
      <c r="A32" t="s">
        <v>337</v>
      </c>
      <c r="B32" s="48">
        <v>34120.78</v>
      </c>
      <c r="C32" s="48">
        <v>75014.87</v>
      </c>
      <c r="D32" s="48">
        <v>138492.9</v>
      </c>
      <c r="E32" s="48">
        <v>140698.1</v>
      </c>
      <c r="F32" s="48">
        <v>179668.82</v>
      </c>
      <c r="G32" s="48">
        <v>186806.24</v>
      </c>
      <c r="H32" s="48">
        <v>212480.24</v>
      </c>
      <c r="I32" s="48">
        <f t="shared" si="2"/>
        <v>967281.95</v>
      </c>
    </row>
    <row r="33" spans="1:12" x14ac:dyDescent="0.25">
      <c r="A33" t="s">
        <v>317</v>
      </c>
      <c r="B33" s="48">
        <v>38830.42</v>
      </c>
      <c r="C33" s="48">
        <v>54101.21</v>
      </c>
      <c r="D33" s="48">
        <v>74590.929999999993</v>
      </c>
      <c r="E33" s="48">
        <v>87541.119999999995</v>
      </c>
      <c r="F33" s="48">
        <v>119335.27</v>
      </c>
      <c r="G33" s="48">
        <v>112054.49</v>
      </c>
      <c r="H33" s="48">
        <v>145061.98000000001</v>
      </c>
      <c r="I33" s="48">
        <f>SUM(B33:H33)</f>
        <v>631515.42000000004</v>
      </c>
      <c r="K33" s="48"/>
      <c r="L33" s="112"/>
    </row>
    <row r="34" spans="1:12" x14ac:dyDescent="0.25">
      <c r="A34" s="47" t="s">
        <v>284</v>
      </c>
      <c r="B34" s="50">
        <f t="shared" ref="B34:I34" si="3">SUM(B18:B33)</f>
        <v>1614895.55</v>
      </c>
      <c r="C34" s="50">
        <f t="shared" si="3"/>
        <v>4338856.2999999989</v>
      </c>
      <c r="D34" s="50">
        <f t="shared" si="3"/>
        <v>7178998.7699999996</v>
      </c>
      <c r="E34" s="50">
        <f t="shared" si="3"/>
        <v>7770402.29</v>
      </c>
      <c r="F34" s="50">
        <f>SUM(F18:F33)</f>
        <v>9533879.5500000026</v>
      </c>
      <c r="G34" s="50">
        <f>SUM(G18:G33)</f>
        <v>10709141.439999998</v>
      </c>
      <c r="H34" s="50">
        <f>SUM(H18:H33)</f>
        <v>12512376.91</v>
      </c>
      <c r="I34" s="50">
        <f t="shared" si="3"/>
        <v>53658550.810000002</v>
      </c>
    </row>
    <row r="36" spans="1:12" ht="15.75" thickBot="1" x14ac:dyDescent="0.3">
      <c r="A36" s="47" t="s">
        <v>212</v>
      </c>
      <c r="B36" s="51">
        <f t="shared" ref="B36:I36" si="4">B15-B34</f>
        <v>711.23999999999069</v>
      </c>
      <c r="C36" s="51">
        <f t="shared" si="4"/>
        <v>78777.040000000969</v>
      </c>
      <c r="D36" s="51">
        <f t="shared" si="4"/>
        <v>65842.620000000112</v>
      </c>
      <c r="E36" s="51">
        <f t="shared" si="4"/>
        <v>140739.32999999914</v>
      </c>
      <c r="F36" s="51">
        <f>F15-F34</f>
        <v>125547.94999999739</v>
      </c>
      <c r="G36" s="51">
        <f>G15-G34</f>
        <v>130330.74000000209</v>
      </c>
      <c r="H36" s="51">
        <f t="shared" si="4"/>
        <v>199865.85000000149</v>
      </c>
      <c r="I36" s="51">
        <f t="shared" si="4"/>
        <v>741814.77000000328</v>
      </c>
    </row>
    <row r="38" spans="1:12" x14ac:dyDescent="0.25">
      <c r="A38" s="47" t="s">
        <v>210</v>
      </c>
    </row>
    <row r="39" spans="1:12" x14ac:dyDescent="0.25">
      <c r="A39" s="47" t="s">
        <v>290</v>
      </c>
    </row>
    <row r="40" spans="1:12" x14ac:dyDescent="0.25">
      <c r="A40" t="s">
        <v>293</v>
      </c>
      <c r="B40" s="48">
        <v>838.82</v>
      </c>
      <c r="C40" s="48">
        <v>672.84</v>
      </c>
      <c r="D40" s="48">
        <v>0</v>
      </c>
      <c r="E40" s="48">
        <v>0</v>
      </c>
      <c r="F40" s="48">
        <v>0</v>
      </c>
      <c r="G40" s="48">
        <v>0</v>
      </c>
      <c r="H40" s="48">
        <v>1208.07</v>
      </c>
      <c r="I40" s="48">
        <f>SUM(B40:H40)</f>
        <v>2719.73</v>
      </c>
    </row>
    <row r="41" spans="1:12" x14ac:dyDescent="0.25">
      <c r="A41" t="s">
        <v>294</v>
      </c>
      <c r="B41" s="48">
        <v>142.41999999999999</v>
      </c>
      <c r="C41" s="48">
        <v>418.29</v>
      </c>
      <c r="D41" s="48">
        <v>418.29</v>
      </c>
      <c r="E41" s="48">
        <v>418.29</v>
      </c>
      <c r="F41" s="48">
        <v>418.29</v>
      </c>
      <c r="G41" s="48">
        <v>418.29</v>
      </c>
      <c r="H41" s="48">
        <v>418.29</v>
      </c>
      <c r="I41" s="48">
        <f>SUM(B41:H41)</f>
        <v>2652.16</v>
      </c>
    </row>
    <row r="42" spans="1:12" x14ac:dyDescent="0.25">
      <c r="A42" s="47" t="s">
        <v>336</v>
      </c>
      <c r="B42" s="50">
        <f t="shared" ref="B42:I42" si="5">SUM(B40:B41)</f>
        <v>981.24</v>
      </c>
      <c r="C42" s="50">
        <f t="shared" si="5"/>
        <v>1091.1300000000001</v>
      </c>
      <c r="D42" s="50">
        <f t="shared" si="5"/>
        <v>418.29</v>
      </c>
      <c r="E42" s="50">
        <f t="shared" si="5"/>
        <v>418.29</v>
      </c>
      <c r="F42" s="50">
        <f>SUM(F40:F41)</f>
        <v>418.29</v>
      </c>
      <c r="G42" s="50">
        <f>SUM(G40:G41)</f>
        <v>418.29</v>
      </c>
      <c r="H42" s="50">
        <f t="shared" si="5"/>
        <v>1626.36</v>
      </c>
      <c r="I42" s="50">
        <f t="shared" si="5"/>
        <v>5371.8899999999994</v>
      </c>
    </row>
    <row r="44" spans="1:12" x14ac:dyDescent="0.25">
      <c r="A44" s="47" t="s">
        <v>295</v>
      </c>
    </row>
    <row r="45" spans="1:12" x14ac:dyDescent="0.25">
      <c r="A45" t="s">
        <v>254</v>
      </c>
      <c r="B45" s="48">
        <v>699.09</v>
      </c>
      <c r="C45" s="48">
        <v>609.66</v>
      </c>
      <c r="D45" s="48">
        <v>670.54</v>
      </c>
      <c r="E45" s="48">
        <v>716.49</v>
      </c>
      <c r="F45" s="48">
        <v>816.61</v>
      </c>
      <c r="G45" s="48">
        <v>992.7</v>
      </c>
      <c r="H45" s="48">
        <v>1326.01</v>
      </c>
      <c r="I45" s="48">
        <f t="shared" ref="I45:I50" si="6">SUM(B45:H45)</f>
        <v>5831.1</v>
      </c>
    </row>
    <row r="46" spans="1:12" x14ac:dyDescent="0.25">
      <c r="A46" t="s">
        <v>258</v>
      </c>
      <c r="B46" s="48">
        <v>0</v>
      </c>
      <c r="C46" s="48">
        <v>587.5</v>
      </c>
      <c r="D46" s="48">
        <v>0</v>
      </c>
      <c r="E46" s="48">
        <v>0</v>
      </c>
      <c r="F46" s="48">
        <v>0</v>
      </c>
      <c r="G46" s="48">
        <v>99.99</v>
      </c>
      <c r="H46" s="48">
        <v>0</v>
      </c>
      <c r="I46" s="48">
        <f t="shared" si="6"/>
        <v>687.49</v>
      </c>
    </row>
    <row r="47" spans="1:12" x14ac:dyDescent="0.25">
      <c r="A47" t="s">
        <v>264</v>
      </c>
      <c r="B47" s="48">
        <v>0</v>
      </c>
      <c r="C47" s="48">
        <v>0</v>
      </c>
      <c r="D47" s="48">
        <v>672.84</v>
      </c>
      <c r="E47" s="48">
        <v>672.82</v>
      </c>
      <c r="F47" s="48">
        <v>672.82</v>
      </c>
      <c r="G47" s="48">
        <v>672.82</v>
      </c>
      <c r="H47" s="48">
        <v>1390.99</v>
      </c>
      <c r="I47" s="48">
        <f t="shared" si="6"/>
        <v>4082.29</v>
      </c>
    </row>
    <row r="48" spans="1:12" x14ac:dyDescent="0.25">
      <c r="A48" t="s">
        <v>388</v>
      </c>
      <c r="B48" s="48">
        <v>3000</v>
      </c>
      <c r="C48" s="48">
        <v>3000</v>
      </c>
      <c r="D48" s="48">
        <v>3000</v>
      </c>
      <c r="E48" s="48">
        <v>3000</v>
      </c>
      <c r="F48" s="48">
        <v>3000</v>
      </c>
      <c r="G48" s="48">
        <v>2000</v>
      </c>
      <c r="H48" s="48">
        <v>2000</v>
      </c>
      <c r="I48" s="48">
        <f t="shared" si="6"/>
        <v>19000</v>
      </c>
    </row>
    <row r="49" spans="1:10" x14ac:dyDescent="0.25">
      <c r="A49" t="s">
        <v>364</v>
      </c>
      <c r="B49" s="48">
        <v>3750</v>
      </c>
      <c r="C49" s="48">
        <v>3750</v>
      </c>
      <c r="D49" s="48">
        <v>3750</v>
      </c>
      <c r="E49" s="48">
        <v>3750</v>
      </c>
      <c r="F49" s="48">
        <v>3750</v>
      </c>
      <c r="G49" s="48">
        <v>3750</v>
      </c>
      <c r="H49" s="48">
        <v>3750</v>
      </c>
      <c r="I49" s="48">
        <f t="shared" si="6"/>
        <v>26250</v>
      </c>
    </row>
    <row r="50" spans="1:10" x14ac:dyDescent="0.25">
      <c r="A50" t="s">
        <v>389</v>
      </c>
      <c r="B50" s="48">
        <v>109</v>
      </c>
      <c r="C50" s="48">
        <v>29.99</v>
      </c>
      <c r="D50" s="48">
        <v>29.99</v>
      </c>
      <c r="E50" s="48">
        <v>29.99</v>
      </c>
      <c r="F50" s="48">
        <v>0</v>
      </c>
      <c r="G50" s="48">
        <v>29.99</v>
      </c>
      <c r="H50" s="48">
        <v>29.99</v>
      </c>
      <c r="I50" s="48">
        <f t="shared" si="6"/>
        <v>258.95000000000005</v>
      </c>
    </row>
    <row r="51" spans="1:10" x14ac:dyDescent="0.25">
      <c r="A51" s="47" t="s">
        <v>298</v>
      </c>
      <c r="B51" s="50">
        <f t="shared" ref="B51:I51" si="7">SUM(B45:B50)</f>
        <v>7558.09</v>
      </c>
      <c r="C51" s="50">
        <f t="shared" si="7"/>
        <v>7977.15</v>
      </c>
      <c r="D51" s="50">
        <f t="shared" si="7"/>
        <v>8123.37</v>
      </c>
      <c r="E51" s="50">
        <f t="shared" si="7"/>
        <v>8169.2999999999993</v>
      </c>
      <c r="F51" s="50">
        <f>SUM(F45:F50)</f>
        <v>8239.43</v>
      </c>
      <c r="G51" s="50">
        <f>SUM(G45:G50)</f>
        <v>7545.5</v>
      </c>
      <c r="H51" s="50">
        <f t="shared" si="7"/>
        <v>8496.99</v>
      </c>
      <c r="I51" s="50">
        <f t="shared" si="7"/>
        <v>56109.83</v>
      </c>
    </row>
    <row r="52" spans="1:10" x14ac:dyDescent="0.25">
      <c r="A52" t="s">
        <v>247</v>
      </c>
    </row>
    <row r="53" spans="1:10" x14ac:dyDescent="0.25">
      <c r="A53" s="47" t="s">
        <v>323</v>
      </c>
    </row>
    <row r="54" spans="1:10" x14ac:dyDescent="0.25">
      <c r="A54" t="s">
        <v>324</v>
      </c>
      <c r="B54" s="48">
        <v>34022.5</v>
      </c>
      <c r="C54" s="48">
        <v>34265</v>
      </c>
      <c r="D54" s="48">
        <v>34451.25</v>
      </c>
      <c r="E54" s="48">
        <v>34845</v>
      </c>
      <c r="F54" s="48">
        <v>34565</v>
      </c>
      <c r="G54" s="48">
        <v>34906.25</v>
      </c>
      <c r="H54" s="48">
        <v>36258.75</v>
      </c>
      <c r="I54" s="48">
        <f>SUM(B54:H54)</f>
        <v>243313.75</v>
      </c>
    </row>
    <row r="55" spans="1:10" x14ac:dyDescent="0.25">
      <c r="A55" s="47" t="s">
        <v>390</v>
      </c>
      <c r="B55" s="48">
        <v>0</v>
      </c>
      <c r="C55" s="48">
        <v>0</v>
      </c>
      <c r="D55" s="48">
        <v>0</v>
      </c>
      <c r="E55" s="48">
        <v>0</v>
      </c>
      <c r="F55" s="48">
        <v>31752.38</v>
      </c>
      <c r="G55" s="48">
        <v>5625.56</v>
      </c>
      <c r="H55" s="48">
        <v>4645.78</v>
      </c>
      <c r="I55" s="48">
        <f>SUM(B55:H55)</f>
        <v>42023.72</v>
      </c>
    </row>
    <row r="56" spans="1:10" x14ac:dyDescent="0.25">
      <c r="A56" s="47" t="s">
        <v>272</v>
      </c>
      <c r="B56" s="48">
        <v>0</v>
      </c>
      <c r="C56" s="48">
        <v>0</v>
      </c>
      <c r="D56" s="48">
        <v>0</v>
      </c>
      <c r="E56" s="48">
        <v>-219.74</v>
      </c>
      <c r="F56" s="48">
        <v>-5033.32</v>
      </c>
      <c r="G56" s="48">
        <v>-1000</v>
      </c>
      <c r="H56" s="48">
        <v>-1033.33</v>
      </c>
      <c r="I56" s="48">
        <f>SUM(B56:H56)</f>
        <v>-7286.3899999999994</v>
      </c>
    </row>
    <row r="57" spans="1:10" x14ac:dyDescent="0.25">
      <c r="A57" s="47" t="s">
        <v>325</v>
      </c>
      <c r="B57" s="50">
        <f>SUM(B54:B56)</f>
        <v>34022.5</v>
      </c>
      <c r="C57" s="50">
        <f t="shared" ref="C57:I57" si="8">SUM(C54:C56)</f>
        <v>34265</v>
      </c>
      <c r="D57" s="50">
        <f t="shared" si="8"/>
        <v>34451.25</v>
      </c>
      <c r="E57" s="50">
        <f t="shared" si="8"/>
        <v>34625.26</v>
      </c>
      <c r="F57" s="50">
        <f>SUM(F54:F56)</f>
        <v>61284.060000000005</v>
      </c>
      <c r="G57" s="50">
        <f>SUM(G54:G56)</f>
        <v>39531.81</v>
      </c>
      <c r="H57" s="50">
        <f t="shared" si="8"/>
        <v>39871.199999999997</v>
      </c>
      <c r="I57" s="50">
        <f t="shared" si="8"/>
        <v>278051.07999999996</v>
      </c>
    </row>
    <row r="59" spans="1:10" ht="15.75" thickBot="1" x14ac:dyDescent="0.3">
      <c r="A59" s="47" t="s">
        <v>211</v>
      </c>
      <c r="B59" s="51">
        <f t="shared" ref="B59:I59" si="9">B42+B51+B57</f>
        <v>42561.83</v>
      </c>
      <c r="C59" s="51">
        <f t="shared" si="9"/>
        <v>43333.279999999999</v>
      </c>
      <c r="D59" s="51">
        <f t="shared" si="9"/>
        <v>42992.91</v>
      </c>
      <c r="E59" s="51">
        <f t="shared" si="9"/>
        <v>43212.850000000006</v>
      </c>
      <c r="F59" s="51">
        <f>F42+F51+F57</f>
        <v>69941.78</v>
      </c>
      <c r="G59" s="51">
        <f>G42+G51+G57</f>
        <v>47495.6</v>
      </c>
      <c r="H59" s="51">
        <f t="shared" si="9"/>
        <v>49994.549999999996</v>
      </c>
      <c r="I59" s="51">
        <f t="shared" si="9"/>
        <v>339532.79999999993</v>
      </c>
    </row>
    <row r="61" spans="1:10" ht="15.75" thickBot="1" x14ac:dyDescent="0.3">
      <c r="A61" s="47" t="s">
        <v>302</v>
      </c>
      <c r="B61" s="52">
        <f t="shared" ref="B61:I61" si="10">B36-B59</f>
        <v>-41850.590000000011</v>
      </c>
      <c r="C61" s="52">
        <f t="shared" si="10"/>
        <v>35443.76000000097</v>
      </c>
      <c r="D61" s="52">
        <f t="shared" si="10"/>
        <v>22849.710000000108</v>
      </c>
      <c r="E61" s="52">
        <f t="shared" si="10"/>
        <v>97526.479999999137</v>
      </c>
      <c r="F61" s="52">
        <f>F36-F59</f>
        <v>55606.169999997393</v>
      </c>
      <c r="G61" s="52">
        <f>G36-G59</f>
        <v>82835.14000000208</v>
      </c>
      <c r="H61" s="52">
        <f t="shared" si="10"/>
        <v>149871.3000000015</v>
      </c>
      <c r="I61" s="52">
        <f t="shared" si="10"/>
        <v>402281.97000000335</v>
      </c>
      <c r="J61"/>
    </row>
    <row r="62" spans="1:10" ht="15.75" thickTop="1" x14ac:dyDescent="0.25"/>
  </sheetData>
  <mergeCells count="3">
    <mergeCell ref="A1:I1"/>
    <mergeCell ref="A2:I2"/>
    <mergeCell ref="A3:I3"/>
  </mergeCells>
  <pageMargins left="0.7" right="0.7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J21"/>
  <sheetViews>
    <sheetView zoomScaleNormal="100" workbookViewId="0">
      <pane ySplit="6" topLeftCell="A7" activePane="bottomLeft" state="frozen"/>
      <selection activeCell="M77" sqref="M77"/>
      <selection pane="bottomLeft" activeCell="K22" sqref="K22"/>
    </sheetView>
  </sheetViews>
  <sheetFormatPr defaultRowHeight="15" x14ac:dyDescent="0.25"/>
  <cols>
    <col min="1" max="1" width="41.28515625" bestFit="1" customWidth="1"/>
    <col min="2" max="8" width="13.28515625" style="48" bestFit="1" customWidth="1"/>
    <col min="9" max="9" width="14.28515625" style="48" bestFit="1" customWidth="1"/>
    <col min="10" max="10" width="9.140625" style="48" customWidth="1"/>
  </cols>
  <sheetData>
    <row r="1" spans="1:9" x14ac:dyDescent="0.25">
      <c r="A1" s="210" t="s">
        <v>329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0" t="s">
        <v>276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10">
        <v>2018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5">
      <c r="B6" s="53" t="s">
        <v>303</v>
      </c>
      <c r="C6" s="53" t="s">
        <v>304</v>
      </c>
      <c r="D6" s="53" t="s">
        <v>305</v>
      </c>
      <c r="E6" s="53" t="s">
        <v>306</v>
      </c>
      <c r="F6" s="53" t="s">
        <v>382</v>
      </c>
      <c r="G6" s="53" t="s">
        <v>424</v>
      </c>
      <c r="H6" s="53" t="s">
        <v>451</v>
      </c>
      <c r="I6" s="53" t="s">
        <v>208</v>
      </c>
    </row>
    <row r="8" spans="1:9" s="48" customFormat="1" x14ac:dyDescent="0.25">
      <c r="A8" s="47" t="s">
        <v>295</v>
      </c>
    </row>
    <row r="9" spans="1:9" s="48" customFormat="1" x14ac:dyDescent="0.25">
      <c r="A9" t="s">
        <v>254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f>SUM(B9:H9)</f>
        <v>1462.0700000000002</v>
      </c>
    </row>
    <row r="10" spans="1:9" s="48" customFormat="1" x14ac:dyDescent="0.25">
      <c r="A10" t="s">
        <v>330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f>SUM(B10:H10)</f>
        <v>109</v>
      </c>
    </row>
    <row r="11" spans="1:9" s="48" customFormat="1" x14ac:dyDescent="0.25">
      <c r="A11" s="47" t="s">
        <v>298</v>
      </c>
      <c r="B11" s="50">
        <f t="shared" ref="B11:I11" si="0">SUM(B9:B10)</f>
        <v>327.78999999999996</v>
      </c>
      <c r="C11" s="50">
        <f t="shared" si="0"/>
        <v>218.72</v>
      </c>
      <c r="D11" s="50">
        <f t="shared" si="0"/>
        <v>219.51</v>
      </c>
      <c r="E11" s="50">
        <f t="shared" si="0"/>
        <v>218.41</v>
      </c>
      <c r="F11" s="50">
        <f>SUM(F9:F10)</f>
        <v>216.38</v>
      </c>
      <c r="G11" s="50">
        <f>SUM(G9:G10)</f>
        <v>185.13</v>
      </c>
      <c r="H11" s="50">
        <f t="shared" si="0"/>
        <v>185.13</v>
      </c>
      <c r="I11" s="50">
        <f t="shared" si="0"/>
        <v>1571.0700000000002</v>
      </c>
    </row>
    <row r="12" spans="1:9" s="48" customFormat="1" x14ac:dyDescent="0.25">
      <c r="A12" t="s">
        <v>247</v>
      </c>
    </row>
    <row r="13" spans="1:9" s="48" customFormat="1" x14ac:dyDescent="0.25">
      <c r="A13" s="47" t="s">
        <v>323</v>
      </c>
    </row>
    <row r="14" spans="1:9" s="48" customFormat="1" x14ac:dyDescent="0.25">
      <c r="A14" t="s">
        <v>272</v>
      </c>
      <c r="B14" s="48">
        <v>3744.3</v>
      </c>
      <c r="C14" s="48">
        <v>2815.01</v>
      </c>
      <c r="D14" s="48">
        <v>3116.6</v>
      </c>
      <c r="E14" s="48">
        <v>2687.25</v>
      </c>
      <c r="F14" s="48">
        <v>3286.89</v>
      </c>
      <c r="G14" s="48">
        <v>5798.93</v>
      </c>
      <c r="H14" s="48">
        <v>5986.2</v>
      </c>
      <c r="I14" s="48">
        <f>SUM(B14:H14)</f>
        <v>27435.18</v>
      </c>
    </row>
    <row r="15" spans="1:9" s="48" customFormat="1" x14ac:dyDescent="0.25">
      <c r="A15" t="s">
        <v>273</v>
      </c>
      <c r="B15" s="48">
        <v>-881.76</v>
      </c>
      <c r="C15" s="48">
        <v>-506.4</v>
      </c>
      <c r="D15" s="48">
        <v>-560.66</v>
      </c>
      <c r="E15" s="48">
        <v>-542.57000000000005</v>
      </c>
      <c r="F15" s="48">
        <v>-280.69</v>
      </c>
      <c r="G15" s="48">
        <v>-562.42999999999995</v>
      </c>
      <c r="H15" s="48">
        <v>-581.17999999999995</v>
      </c>
      <c r="I15" s="48">
        <f>SUM(B15:H15)</f>
        <v>-3915.6899999999996</v>
      </c>
    </row>
    <row r="16" spans="1:9" s="48" customFormat="1" x14ac:dyDescent="0.25">
      <c r="A16" t="s">
        <v>365</v>
      </c>
      <c r="B16" s="48">
        <v>0</v>
      </c>
      <c r="C16" s="48">
        <v>0</v>
      </c>
      <c r="D16" s="48">
        <v>0</v>
      </c>
      <c r="E16" s="48">
        <v>0</v>
      </c>
      <c r="F16" s="48">
        <v>-1250</v>
      </c>
      <c r="G16" s="48">
        <v>-1250</v>
      </c>
      <c r="H16" s="48">
        <v>-1250</v>
      </c>
      <c r="I16" s="48">
        <f>SUM(B16:H16)</f>
        <v>-3750</v>
      </c>
    </row>
    <row r="17" spans="1:10" s="48" customFormat="1" x14ac:dyDescent="0.25">
      <c r="A17" t="s">
        <v>431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-270</v>
      </c>
      <c r="H17" s="48">
        <v>-384.17</v>
      </c>
      <c r="I17" s="48">
        <f>SUM(B17:H17)</f>
        <v>-654.17000000000007</v>
      </c>
    </row>
    <row r="18" spans="1:10" s="48" customFormat="1" x14ac:dyDescent="0.25">
      <c r="A18" s="47" t="s">
        <v>325</v>
      </c>
      <c r="B18" s="50">
        <f t="shared" ref="B18:I18" si="1">SUM(B14:B17)</f>
        <v>2862.54</v>
      </c>
      <c r="C18" s="50">
        <f t="shared" si="1"/>
        <v>2308.61</v>
      </c>
      <c r="D18" s="50">
        <f t="shared" si="1"/>
        <v>2555.94</v>
      </c>
      <c r="E18" s="50">
        <f t="shared" si="1"/>
        <v>2144.6799999999998</v>
      </c>
      <c r="F18" s="50">
        <f t="shared" si="1"/>
        <v>1756.1999999999998</v>
      </c>
      <c r="G18" s="50">
        <f t="shared" si="1"/>
        <v>3716.5</v>
      </c>
      <c r="H18" s="50">
        <f t="shared" si="1"/>
        <v>3770.8499999999995</v>
      </c>
      <c r="I18" s="50">
        <f t="shared" si="1"/>
        <v>19115.32</v>
      </c>
    </row>
    <row r="20" spans="1:10" ht="15.75" thickBot="1" x14ac:dyDescent="0.3">
      <c r="A20" s="47" t="s">
        <v>302</v>
      </c>
      <c r="B20" s="52">
        <f>B18-B11</f>
        <v>2534.75</v>
      </c>
      <c r="C20" s="52">
        <f t="shared" ref="C20:H20" si="2">C18-C11</f>
        <v>2089.8900000000003</v>
      </c>
      <c r="D20" s="52">
        <f t="shared" si="2"/>
        <v>2336.4300000000003</v>
      </c>
      <c r="E20" s="52">
        <f>E18-E11</f>
        <v>1926.2699999999998</v>
      </c>
      <c r="F20" s="52">
        <f>F18-F11</f>
        <v>1539.8199999999997</v>
      </c>
      <c r="G20" s="52">
        <f>G18-G11</f>
        <v>3531.37</v>
      </c>
      <c r="H20" s="52">
        <f t="shared" si="2"/>
        <v>3585.7199999999993</v>
      </c>
      <c r="I20" s="52">
        <f>I18-I11</f>
        <v>17544.25</v>
      </c>
      <c r="J20"/>
    </row>
    <row r="21" spans="1:10" ht="15.75" thickTop="1" x14ac:dyDescent="0.25"/>
  </sheetData>
  <mergeCells count="3">
    <mergeCell ref="A1:I1"/>
    <mergeCell ref="A2:I2"/>
    <mergeCell ref="A3:I3"/>
  </mergeCells>
  <pageMargins left="0.7" right="0.7" top="0.75" bottom="0.75" header="0.3" footer="0.3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J85"/>
  <sheetViews>
    <sheetView view="pageBreakPreview" zoomScale="60" zoomScaleNormal="100" workbookViewId="0">
      <pane ySplit="6" topLeftCell="A40" activePane="bottomLeft" state="frozen"/>
      <selection activeCell="M77" sqref="M77"/>
      <selection pane="bottomLeft" activeCell="H55" sqref="H55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8" width="13" style="48" bestFit="1" customWidth="1"/>
    <col min="9" max="9" width="13.42578125" style="48" bestFit="1" customWidth="1"/>
    <col min="10" max="10" width="9.140625" style="48" customWidth="1"/>
    <col min="11" max="11" width="9.5703125" bestFit="1" customWidth="1"/>
    <col min="13" max="13" width="11.5703125" bestFit="1" customWidth="1"/>
  </cols>
  <sheetData>
    <row r="1" spans="1:9" x14ac:dyDescent="0.25">
      <c r="A1" s="210" t="s">
        <v>350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0" t="s">
        <v>276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10">
        <v>2018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5">
      <c r="B6" s="53" t="s">
        <v>303</v>
      </c>
      <c r="C6" s="53" t="s">
        <v>304</v>
      </c>
      <c r="D6" s="53" t="s">
        <v>305</v>
      </c>
      <c r="E6" s="53" t="s">
        <v>306</v>
      </c>
      <c r="F6" s="53" t="s">
        <v>382</v>
      </c>
      <c r="G6" s="53" t="s">
        <v>424</v>
      </c>
      <c r="H6" s="53" t="s">
        <v>451</v>
      </c>
      <c r="I6" s="53" t="s">
        <v>208</v>
      </c>
    </row>
    <row r="7" spans="1:9" x14ac:dyDescent="0.25">
      <c r="A7" s="47" t="s">
        <v>62</v>
      </c>
    </row>
    <row r="8" spans="1:9" x14ac:dyDescent="0.25">
      <c r="A8" t="s">
        <v>351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f t="shared" ref="I8:I13" si="0">SUM(B8:H8)</f>
        <v>1350</v>
      </c>
    </row>
    <row r="9" spans="1:9" x14ac:dyDescent="0.25">
      <c r="A9" t="s">
        <v>352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f t="shared" si="0"/>
        <v>2676</v>
      </c>
    </row>
    <row r="10" spans="1:9" x14ac:dyDescent="0.25">
      <c r="A10" t="s">
        <v>376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f t="shared" si="0"/>
        <v>614.08000000000004</v>
      </c>
    </row>
    <row r="11" spans="1:9" x14ac:dyDescent="0.25">
      <c r="A11" t="s">
        <v>354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f t="shared" si="0"/>
        <v>5006.41</v>
      </c>
    </row>
    <row r="12" spans="1:9" x14ac:dyDescent="0.25">
      <c r="A12" t="s">
        <v>353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f t="shared" si="0"/>
        <v>55.65</v>
      </c>
    </row>
    <row r="13" spans="1:9" x14ac:dyDescent="0.25">
      <c r="A13" t="s">
        <v>355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f t="shared" si="0"/>
        <v>517018.10000000003</v>
      </c>
    </row>
    <row r="14" spans="1:9" s="48" customFormat="1" x14ac:dyDescent="0.25">
      <c r="A14" s="47" t="s">
        <v>224</v>
      </c>
      <c r="B14" s="50">
        <f t="shared" ref="B14:I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>SUM(F8:F13)</f>
        <v>28754.35</v>
      </c>
      <c r="G14" s="50">
        <f t="shared" ref="G14" si="2">SUM(G8:G13)</f>
        <v>14007.69</v>
      </c>
      <c r="H14" s="50">
        <f t="shared" si="1"/>
        <v>7035</v>
      </c>
      <c r="I14" s="50">
        <f t="shared" si="1"/>
        <v>526720.24</v>
      </c>
    </row>
    <row r="16" spans="1:9" s="48" customFormat="1" x14ac:dyDescent="0.25">
      <c r="A16" s="47"/>
    </row>
    <row r="17" spans="1:9" s="48" customFormat="1" x14ac:dyDescent="0.25">
      <c r="A17" t="s">
        <v>356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f>SUM(B17:H17)</f>
        <v>1648.2199999999998</v>
      </c>
    </row>
    <row r="18" spans="1:9" s="48" customFormat="1" x14ac:dyDescent="0.25">
      <c r="A18" s="47" t="s">
        <v>284</v>
      </c>
      <c r="B18" s="50">
        <f t="shared" ref="B18:I18" si="3">SUM(B17:B17)</f>
        <v>489.92</v>
      </c>
      <c r="C18" s="50">
        <f t="shared" si="3"/>
        <v>578.66999999999996</v>
      </c>
      <c r="D18" s="50">
        <f t="shared" si="3"/>
        <v>0</v>
      </c>
      <c r="E18" s="50">
        <f t="shared" si="3"/>
        <v>0</v>
      </c>
      <c r="F18" s="50">
        <f>SUM(F17:F17)</f>
        <v>0</v>
      </c>
      <c r="G18" s="50">
        <f t="shared" ref="G18" si="4">SUM(G17:G17)</f>
        <v>579.63</v>
      </c>
      <c r="H18" s="50">
        <f t="shared" si="3"/>
        <v>0</v>
      </c>
      <c r="I18" s="50">
        <f t="shared" si="3"/>
        <v>1648.2199999999998</v>
      </c>
    </row>
    <row r="20" spans="1:9" s="48" customFormat="1" ht="15.75" thickBot="1" x14ac:dyDescent="0.3">
      <c r="A20" s="47" t="s">
        <v>212</v>
      </c>
      <c r="B20" s="51">
        <f t="shared" ref="B20:I20" si="5">B14-B18</f>
        <v>142281.44999999998</v>
      </c>
      <c r="C20" s="51">
        <f t="shared" si="5"/>
        <v>131356.12999999998</v>
      </c>
      <c r="D20" s="51">
        <f t="shared" si="5"/>
        <v>124581.86</v>
      </c>
      <c r="E20" s="51">
        <f t="shared" si="5"/>
        <v>77635.17</v>
      </c>
      <c r="F20" s="51">
        <f>F14-F18</f>
        <v>28754.35</v>
      </c>
      <c r="G20" s="51">
        <f t="shared" ref="G20" si="6">G14-G18</f>
        <v>13428.060000000001</v>
      </c>
      <c r="H20" s="51">
        <f t="shared" si="5"/>
        <v>7035</v>
      </c>
      <c r="I20" s="51">
        <f t="shared" si="5"/>
        <v>525072.02</v>
      </c>
    </row>
    <row r="22" spans="1:9" s="48" customFormat="1" x14ac:dyDescent="0.25">
      <c r="A22" s="47" t="s">
        <v>210</v>
      </c>
    </row>
    <row r="23" spans="1:9" s="48" customFormat="1" x14ac:dyDescent="0.25">
      <c r="A23" t="s">
        <v>226</v>
      </c>
      <c r="I23" s="48">
        <f>SUM(B23:E23)</f>
        <v>0</v>
      </c>
    </row>
    <row r="24" spans="1:9" s="48" customFormat="1" x14ac:dyDescent="0.25">
      <c r="A24" t="s">
        <v>285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f>SUM(B24:H24)</f>
        <v>148003.93</v>
      </c>
    </row>
    <row r="25" spans="1:9" s="48" customFormat="1" x14ac:dyDescent="0.25">
      <c r="A25" t="s">
        <v>286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f t="shared" ref="I25:I31" si="7">SUM(B25:H25)</f>
        <v>12841.160000000002</v>
      </c>
    </row>
    <row r="26" spans="1:9" s="48" customFormat="1" x14ac:dyDescent="0.25">
      <c r="A26" t="s">
        <v>287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f t="shared" si="7"/>
        <v>35601.269999999997</v>
      </c>
    </row>
    <row r="27" spans="1:9" s="48" customFormat="1" x14ac:dyDescent="0.25">
      <c r="A27" t="s">
        <v>288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f t="shared" si="7"/>
        <v>2102.1</v>
      </c>
    </row>
    <row r="28" spans="1:9" s="48" customFormat="1" x14ac:dyDescent="0.25">
      <c r="A28" t="s">
        <v>358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f t="shared" si="7"/>
        <v>863.52</v>
      </c>
    </row>
    <row r="29" spans="1:9" s="48" customFormat="1" x14ac:dyDescent="0.25">
      <c r="A29" t="s">
        <v>334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f t="shared" si="7"/>
        <v>3250</v>
      </c>
    </row>
    <row r="30" spans="1:9" s="48" customFormat="1" x14ac:dyDescent="0.25">
      <c r="A30" t="s">
        <v>289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f t="shared" si="7"/>
        <v>1575.5</v>
      </c>
    </row>
    <row r="31" spans="1:9" s="48" customFormat="1" x14ac:dyDescent="0.25">
      <c r="A31" t="s">
        <v>357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f t="shared" si="7"/>
        <v>46038</v>
      </c>
    </row>
    <row r="32" spans="1:9" s="48" customFormat="1" x14ac:dyDescent="0.25">
      <c r="A32" s="47" t="s">
        <v>234</v>
      </c>
      <c r="B32" s="50">
        <f>SUM(B24:B31)</f>
        <v>30465.360000000001</v>
      </c>
      <c r="C32" s="50">
        <f t="shared" ref="C32:I32" si="8">SUM(C24:C31)</f>
        <v>44244.71</v>
      </c>
      <c r="D32" s="50">
        <f t="shared" si="8"/>
        <v>63308.95</v>
      </c>
      <c r="E32" s="50">
        <f t="shared" si="8"/>
        <v>33488.33</v>
      </c>
      <c r="F32" s="50">
        <f>SUM(F24:F31)</f>
        <v>27479.37</v>
      </c>
      <c r="G32" s="50">
        <f>SUM(G24:G31)</f>
        <v>27095.67</v>
      </c>
      <c r="H32" s="50">
        <f>SUM(H24:H31)</f>
        <v>24193.09</v>
      </c>
      <c r="I32" s="50">
        <f t="shared" si="8"/>
        <v>250275.47999999998</v>
      </c>
    </row>
    <row r="33" spans="1:9" s="48" customFormat="1" x14ac:dyDescent="0.25">
      <c r="A33" t="s">
        <v>61</v>
      </c>
    </row>
    <row r="34" spans="1:9" s="48" customFormat="1" x14ac:dyDescent="0.25">
      <c r="A34" s="47" t="s">
        <v>290</v>
      </c>
    </row>
    <row r="35" spans="1:9" s="48" customFormat="1" x14ac:dyDescent="0.25">
      <c r="A35" t="s">
        <v>236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f>SUM(B35:H35)</f>
        <v>7000</v>
      </c>
    </row>
    <row r="36" spans="1:9" s="48" customFormat="1" x14ac:dyDescent="0.25">
      <c r="A36" t="s">
        <v>238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f t="shared" ref="I36:I54" si="9">SUM(B36:H36)</f>
        <v>59030.46</v>
      </c>
    </row>
    <row r="37" spans="1:9" s="48" customFormat="1" x14ac:dyDescent="0.25">
      <c r="A37" t="s">
        <v>237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f t="shared" si="9"/>
        <v>4529</v>
      </c>
    </row>
    <row r="38" spans="1:9" s="48" customFormat="1" x14ac:dyDescent="0.25">
      <c r="A38" t="s">
        <v>339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f t="shared" si="9"/>
        <v>1532.02</v>
      </c>
    </row>
    <row r="39" spans="1:9" s="48" customFormat="1" x14ac:dyDescent="0.25">
      <c r="A39" t="s">
        <v>292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f t="shared" si="9"/>
        <v>4253.3200000000006</v>
      </c>
    </row>
    <row r="40" spans="1:9" s="48" customFormat="1" x14ac:dyDescent="0.25">
      <c r="A40" t="s">
        <v>458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f t="shared" si="9"/>
        <v>0</v>
      </c>
    </row>
    <row r="41" spans="1:9" s="48" customFormat="1" x14ac:dyDescent="0.25">
      <c r="A41" t="s">
        <v>360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f t="shared" si="9"/>
        <v>2914.58</v>
      </c>
    </row>
    <row r="42" spans="1:9" s="48" customFormat="1" x14ac:dyDescent="0.25">
      <c r="A42" t="s">
        <v>361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f t="shared" si="9"/>
        <v>6608.85</v>
      </c>
    </row>
    <row r="43" spans="1:9" s="48" customFormat="1" x14ac:dyDescent="0.25">
      <c r="A43" t="s">
        <v>362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 t="shared" si="9"/>
        <v>11940.4</v>
      </c>
    </row>
    <row r="44" spans="1:9" s="48" customFormat="1" x14ac:dyDescent="0.25">
      <c r="A44" t="s">
        <v>241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f t="shared" si="9"/>
        <v>486.66999999999996</v>
      </c>
    </row>
    <row r="45" spans="1:9" s="48" customFormat="1" x14ac:dyDescent="0.25">
      <c r="A45" t="s">
        <v>242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f t="shared" si="9"/>
        <v>0</v>
      </c>
    </row>
    <row r="46" spans="1:9" s="48" customFormat="1" x14ac:dyDescent="0.25">
      <c r="A46" t="s">
        <v>240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f t="shared" si="9"/>
        <v>16970</v>
      </c>
    </row>
    <row r="47" spans="1:9" s="48" customFormat="1" x14ac:dyDescent="0.25">
      <c r="A47" t="s">
        <v>359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f t="shared" si="9"/>
        <v>565</v>
      </c>
    </row>
    <row r="48" spans="1:9" s="48" customFormat="1" x14ac:dyDescent="0.25">
      <c r="A48" t="s">
        <v>375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f t="shared" si="9"/>
        <v>2918.9700000000003</v>
      </c>
    </row>
    <row r="49" spans="1:9" s="48" customFormat="1" x14ac:dyDescent="0.25">
      <c r="A49" t="s">
        <v>243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f t="shared" si="9"/>
        <v>1417.5100000000002</v>
      </c>
    </row>
    <row r="50" spans="1:9" s="48" customFormat="1" x14ac:dyDescent="0.25">
      <c r="A50" t="s">
        <v>250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f t="shared" si="9"/>
        <v>0</v>
      </c>
    </row>
    <row r="51" spans="1:9" s="48" customFormat="1" x14ac:dyDescent="0.25">
      <c r="A51" t="s">
        <v>244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f t="shared" si="9"/>
        <v>0</v>
      </c>
    </row>
    <row r="52" spans="1:9" s="48" customFormat="1" x14ac:dyDescent="0.25">
      <c r="A52" t="s">
        <v>294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f t="shared" si="9"/>
        <v>65675.03</v>
      </c>
    </row>
    <row r="53" spans="1:9" s="48" customFormat="1" x14ac:dyDescent="0.25">
      <c r="A53" t="s">
        <v>297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f t="shared" si="9"/>
        <v>0</v>
      </c>
    </row>
    <row r="54" spans="1:9" s="48" customFormat="1" x14ac:dyDescent="0.25">
      <c r="A54" t="s">
        <v>372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f t="shared" si="9"/>
        <v>2372.79</v>
      </c>
    </row>
    <row r="55" spans="1:9" s="48" customFormat="1" x14ac:dyDescent="0.25">
      <c r="A55" t="s">
        <v>373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f>SUM(B55:H55)</f>
        <v>4376</v>
      </c>
    </row>
    <row r="56" spans="1:9" s="48" customFormat="1" x14ac:dyDescent="0.25">
      <c r="A56" s="47" t="s">
        <v>336</v>
      </c>
      <c r="B56" s="50">
        <f t="shared" ref="B56:I56" si="10">SUM(B35:B55)</f>
        <v>42252.19</v>
      </c>
      <c r="C56" s="50">
        <f t="shared" si="10"/>
        <v>21778.43</v>
      </c>
      <c r="D56" s="50">
        <f t="shared" si="10"/>
        <v>40785.010000000009</v>
      </c>
      <c r="E56" s="50">
        <f t="shared" si="10"/>
        <v>28457.43</v>
      </c>
      <c r="F56" s="50">
        <f>SUM(F35:F55)</f>
        <v>23283.91</v>
      </c>
      <c r="G56" s="50">
        <f t="shared" ref="G56" si="11">SUM(G35:G55)</f>
        <v>18206.140000000003</v>
      </c>
      <c r="H56" s="50">
        <f t="shared" si="10"/>
        <v>17827.490000000002</v>
      </c>
      <c r="I56" s="50">
        <f t="shared" si="10"/>
        <v>192590.6</v>
      </c>
    </row>
    <row r="58" spans="1:9" s="48" customFormat="1" x14ac:dyDescent="0.25">
      <c r="A58" s="47" t="s">
        <v>295</v>
      </c>
    </row>
    <row r="59" spans="1:9" s="48" customFormat="1" x14ac:dyDescent="0.25">
      <c r="A59" t="s">
        <v>253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f>SUM(B59:H59)</f>
        <v>2430.92</v>
      </c>
    </row>
    <row r="60" spans="1:9" s="48" customFormat="1" ht="14.25" customHeight="1" x14ac:dyDescent="0.25">
      <c r="A60" t="s">
        <v>254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f t="shared" ref="I60:I69" si="12">SUM(B60:H60)</f>
        <v>1869.6899999999996</v>
      </c>
    </row>
    <row r="61" spans="1:9" s="48" customFormat="1" ht="14.25" customHeight="1" x14ac:dyDescent="0.25">
      <c r="A61" t="s">
        <v>366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f t="shared" si="12"/>
        <v>2903.1800000000003</v>
      </c>
    </row>
    <row r="62" spans="1:9" s="48" customFormat="1" x14ac:dyDescent="0.25">
      <c r="A62" t="s">
        <v>296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f t="shared" si="12"/>
        <v>2600</v>
      </c>
    </row>
    <row r="63" spans="1:9" s="48" customFormat="1" x14ac:dyDescent="0.25">
      <c r="A63" t="s">
        <v>308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f t="shared" si="12"/>
        <v>1062.4799999999998</v>
      </c>
    </row>
    <row r="64" spans="1:9" s="48" customFormat="1" x14ac:dyDescent="0.25">
      <c r="A64" t="s">
        <v>374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f t="shared" si="12"/>
        <v>10329.9</v>
      </c>
    </row>
    <row r="65" spans="1:9" s="48" customFormat="1" x14ac:dyDescent="0.25">
      <c r="A65" t="s">
        <v>255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f t="shared" si="12"/>
        <v>975.56000000000006</v>
      </c>
    </row>
    <row r="66" spans="1:9" s="48" customFormat="1" x14ac:dyDescent="0.25">
      <c r="A66" t="s">
        <v>363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f t="shared" si="12"/>
        <v>3500</v>
      </c>
    </row>
    <row r="67" spans="1:9" s="48" customFormat="1" x14ac:dyDescent="0.25">
      <c r="A67" t="s">
        <v>364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f t="shared" si="12"/>
        <v>10500</v>
      </c>
    </row>
    <row r="68" spans="1:9" s="48" customFormat="1" x14ac:dyDescent="0.25">
      <c r="A68" t="s">
        <v>365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f t="shared" si="12"/>
        <v>0</v>
      </c>
    </row>
    <row r="69" spans="1:9" s="48" customFormat="1" x14ac:dyDescent="0.25">
      <c r="A69" t="s">
        <v>258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f t="shared" si="12"/>
        <v>642</v>
      </c>
    </row>
    <row r="70" spans="1:9" s="48" customFormat="1" x14ac:dyDescent="0.25">
      <c r="A70" s="47" t="s">
        <v>298</v>
      </c>
      <c r="B70" s="50">
        <f>SUM(B59:B69)</f>
        <v>4601.16</v>
      </c>
      <c r="C70" s="50">
        <f t="shared" ref="C70:I70" si="13">SUM(C59:C69)</f>
        <v>11588.320000000002</v>
      </c>
      <c r="D70" s="50">
        <f t="shared" si="13"/>
        <v>3552.63</v>
      </c>
      <c r="E70" s="50">
        <f t="shared" si="13"/>
        <v>7049.9199999999992</v>
      </c>
      <c r="F70" s="50">
        <f>SUM(F59:F69)</f>
        <v>3620.46</v>
      </c>
      <c r="G70" s="50">
        <f>SUM(G59:G69)</f>
        <v>3606.5</v>
      </c>
      <c r="H70" s="50">
        <f>SUM(H59:H69)</f>
        <v>2794.74</v>
      </c>
      <c r="I70" s="50">
        <f t="shared" si="13"/>
        <v>36813.729999999996</v>
      </c>
    </row>
    <row r="71" spans="1:9" s="48" customFormat="1" x14ac:dyDescent="0.25">
      <c r="A71" t="s">
        <v>247</v>
      </c>
    </row>
    <row r="72" spans="1:9" s="48" customFormat="1" ht="15.75" thickBot="1" x14ac:dyDescent="0.3">
      <c r="A72" s="47" t="s">
        <v>211</v>
      </c>
      <c r="B72" s="51">
        <f t="shared" ref="B72:I72" si="14">B32+B56+B70</f>
        <v>77318.710000000006</v>
      </c>
      <c r="C72" s="51">
        <f t="shared" si="14"/>
        <v>77611.460000000006</v>
      </c>
      <c r="D72" s="51">
        <f t="shared" si="14"/>
        <v>107646.59000000001</v>
      </c>
      <c r="E72" s="51">
        <f t="shared" si="14"/>
        <v>68995.680000000008</v>
      </c>
      <c r="F72" s="51">
        <f>F32+F56+F70</f>
        <v>54383.74</v>
      </c>
      <c r="G72" s="51">
        <f t="shared" ref="G72" si="15">G32+G56+G70</f>
        <v>48908.31</v>
      </c>
      <c r="H72" s="51">
        <f t="shared" si="14"/>
        <v>44815.32</v>
      </c>
      <c r="I72" s="51">
        <f t="shared" si="14"/>
        <v>479679.80999999994</v>
      </c>
    </row>
    <row r="74" spans="1:9" s="48" customFormat="1" x14ac:dyDescent="0.25">
      <c r="A74" s="47" t="s">
        <v>299</v>
      </c>
    </row>
    <row r="75" spans="1:9" s="48" customFormat="1" x14ac:dyDescent="0.25">
      <c r="A75" t="s">
        <v>368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f>SUM(B75:H75)</f>
        <v>35000</v>
      </c>
    </row>
    <row r="76" spans="1:9" s="48" customFormat="1" x14ac:dyDescent="0.25">
      <c r="A76" t="s">
        <v>367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f>SUM(B76:H76)</f>
        <v>4000</v>
      </c>
    </row>
    <row r="77" spans="1:9" s="48" customFormat="1" x14ac:dyDescent="0.25">
      <c r="A77" t="s">
        <v>369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f>SUM(B77:H77)</f>
        <v>1833.08</v>
      </c>
    </row>
    <row r="78" spans="1:9" s="48" customFormat="1" x14ac:dyDescent="0.25">
      <c r="A78" t="s">
        <v>370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f>SUM(B78:H78)</f>
        <v>-25464.33</v>
      </c>
    </row>
    <row r="79" spans="1:9" s="48" customFormat="1" x14ac:dyDescent="0.25">
      <c r="A79" t="s">
        <v>371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f>SUM(B79:H79)</f>
        <v>-42410.97</v>
      </c>
    </row>
    <row r="80" spans="1:9" x14ac:dyDescent="0.25">
      <c r="A80" s="47" t="s">
        <v>301</v>
      </c>
      <c r="B80" s="50">
        <f t="shared" ref="B80:I80" si="16">SUM(B75:B79)</f>
        <v>-1916.6600000000008</v>
      </c>
      <c r="C80" s="50">
        <f t="shared" si="16"/>
        <v>-3732.07</v>
      </c>
      <c r="D80" s="50">
        <f t="shared" si="16"/>
        <v>-3714.34</v>
      </c>
      <c r="E80" s="50">
        <f t="shared" si="16"/>
        <v>-3696.57</v>
      </c>
      <c r="F80" s="50">
        <f>SUM(F75:F79)</f>
        <v>-4678.75</v>
      </c>
      <c r="G80" s="50">
        <f t="shared" ref="G80" si="17">SUM(G75:G79)</f>
        <v>-4660.88</v>
      </c>
      <c r="H80" s="50">
        <f t="shared" si="16"/>
        <v>-4642.95</v>
      </c>
      <c r="I80" s="50">
        <f t="shared" si="16"/>
        <v>-27042.22</v>
      </c>
    </row>
    <row r="82" spans="1:10" ht="15.75" thickBot="1" x14ac:dyDescent="0.3">
      <c r="A82" s="47" t="s">
        <v>302</v>
      </c>
      <c r="B82" s="52">
        <f t="shared" ref="B82:H82" si="18">B20-B72+B80</f>
        <v>63046.079999999973</v>
      </c>
      <c r="C82" s="52">
        <f t="shared" si="18"/>
        <v>50012.599999999969</v>
      </c>
      <c r="D82" s="52">
        <f t="shared" si="18"/>
        <v>13220.929999999989</v>
      </c>
      <c r="E82" s="52">
        <f t="shared" si="18"/>
        <v>4942.919999999991</v>
      </c>
      <c r="F82" s="52">
        <f>F20-F72+F80</f>
        <v>-30308.14</v>
      </c>
      <c r="G82" s="52">
        <f t="shared" ref="G82" si="19">G20-G72+G80</f>
        <v>-40141.129999999997</v>
      </c>
      <c r="H82" s="52">
        <f t="shared" si="18"/>
        <v>-42423.27</v>
      </c>
      <c r="I82" s="52">
        <f>I20-I72+I80</f>
        <v>18349.990000000078</v>
      </c>
      <c r="J82"/>
    </row>
    <row r="83" spans="1:10" ht="15.75" thickTop="1" x14ac:dyDescent="0.25"/>
    <row r="84" spans="1:10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18349.990000000002</v>
      </c>
    </row>
    <row r="85" spans="1:10" x14ac:dyDescent="0.25">
      <c r="B85" s="48">
        <f t="shared" ref="B85:I85" si="20">B82-B84</f>
        <v>0</v>
      </c>
      <c r="C85" s="48">
        <f t="shared" si="20"/>
        <v>0</v>
      </c>
      <c r="D85" s="48">
        <f t="shared" si="20"/>
        <v>0</v>
      </c>
      <c r="E85" s="48">
        <f t="shared" si="20"/>
        <v>-9.0949470177292824E-12</v>
      </c>
      <c r="F85" s="48">
        <f t="shared" si="20"/>
        <v>0</v>
      </c>
      <c r="G85" s="48">
        <f t="shared" ref="G85" si="21">G82-G84</f>
        <v>0</v>
      </c>
      <c r="H85" s="48">
        <f t="shared" si="20"/>
        <v>0</v>
      </c>
      <c r="I85" s="48">
        <f t="shared" si="20"/>
        <v>7.6397554948925972E-11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57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J29"/>
  <sheetViews>
    <sheetView zoomScaleNormal="100" workbookViewId="0">
      <pane ySplit="6" topLeftCell="A7" activePane="bottomLeft" state="frozen"/>
      <selection activeCell="M77" sqref="M77"/>
      <selection pane="bottomLeft" activeCell="A3" sqref="A3:I3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8" width="13" style="48" bestFit="1" customWidth="1"/>
    <col min="9" max="9" width="13.42578125" style="48" bestFit="1" customWidth="1"/>
    <col min="10" max="10" width="9.140625" style="48" customWidth="1"/>
    <col min="11" max="11" width="9.5703125" bestFit="1" customWidth="1"/>
    <col min="13" max="13" width="11.5703125" bestFit="1" customWidth="1"/>
  </cols>
  <sheetData>
    <row r="1" spans="1:9" x14ac:dyDescent="0.25">
      <c r="A1" s="210" t="s">
        <v>420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0" t="s">
        <v>276</v>
      </c>
      <c r="B2" s="210"/>
      <c r="C2" s="210"/>
      <c r="D2" s="210"/>
      <c r="E2" s="210"/>
      <c r="F2" s="210"/>
      <c r="G2" s="210"/>
      <c r="H2" s="210"/>
      <c r="I2" s="210"/>
    </row>
    <row r="3" spans="1:9" x14ac:dyDescent="0.25">
      <c r="A3" s="210">
        <v>2018</v>
      </c>
      <c r="B3" s="210"/>
      <c r="C3" s="210"/>
      <c r="D3" s="210"/>
      <c r="E3" s="210"/>
      <c r="F3" s="210"/>
      <c r="G3" s="210"/>
      <c r="H3" s="210"/>
      <c r="I3" s="210"/>
    </row>
    <row r="4" spans="1:9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x14ac:dyDescent="0.25">
      <c r="B6" s="53" t="s">
        <v>303</v>
      </c>
      <c r="C6" s="53" t="s">
        <v>304</v>
      </c>
      <c r="D6" s="53" t="s">
        <v>305</v>
      </c>
      <c r="E6" s="53" t="s">
        <v>306</v>
      </c>
      <c r="F6" s="53" t="s">
        <v>382</v>
      </c>
      <c r="G6" s="53" t="s">
        <v>424</v>
      </c>
      <c r="H6" s="53" t="s">
        <v>451</v>
      </c>
      <c r="I6" s="53" t="s">
        <v>208</v>
      </c>
    </row>
    <row r="8" spans="1:9" s="48" customFormat="1" x14ac:dyDescent="0.25">
      <c r="A8" s="47" t="s">
        <v>210</v>
      </c>
    </row>
    <row r="9" spans="1:9" s="48" customFormat="1" x14ac:dyDescent="0.25">
      <c r="A9" s="47" t="s">
        <v>290</v>
      </c>
    </row>
    <row r="10" spans="1:9" s="48" customFormat="1" x14ac:dyDescent="0.25">
      <c r="A10" t="s">
        <v>359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f>SUM(B10:H10)</f>
        <v>520</v>
      </c>
    </row>
    <row r="11" spans="1:9" s="48" customFormat="1" x14ac:dyDescent="0.25">
      <c r="A11" t="s">
        <v>294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f>SUM(B11:H11)</f>
        <v>64758.890000000014</v>
      </c>
    </row>
    <row r="12" spans="1:9" s="48" customFormat="1" x14ac:dyDescent="0.25">
      <c r="A12" s="47" t="s">
        <v>336</v>
      </c>
      <c r="B12" s="50">
        <f t="shared" ref="B12:I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si="0"/>
        <v>9251.27</v>
      </c>
      <c r="I12" s="50">
        <f t="shared" si="0"/>
        <v>65278.890000000014</v>
      </c>
    </row>
    <row r="14" spans="1:9" s="48" customFormat="1" x14ac:dyDescent="0.25">
      <c r="A14" s="47" t="s">
        <v>295</v>
      </c>
    </row>
    <row r="15" spans="1:9" s="48" customFormat="1" x14ac:dyDescent="0.25">
      <c r="A15" t="s">
        <v>363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f>SUM(B15:H15)</f>
        <v>2120</v>
      </c>
    </row>
    <row r="16" spans="1:9" s="48" customFormat="1" x14ac:dyDescent="0.25">
      <c r="A16" s="47"/>
      <c r="B16" s="50">
        <f t="shared" ref="B16:I16" si="1">SUM(B15:B15)</f>
        <v>265</v>
      </c>
      <c r="C16" s="50">
        <f t="shared" si="1"/>
        <v>265</v>
      </c>
      <c r="D16" s="50">
        <f t="shared" si="1"/>
        <v>265</v>
      </c>
      <c r="E16" s="50">
        <f t="shared" si="1"/>
        <v>265</v>
      </c>
      <c r="F16" s="50">
        <f>SUM(F15:F15)</f>
        <v>265</v>
      </c>
      <c r="G16" s="50">
        <f>SUM(G15:G15)</f>
        <v>265</v>
      </c>
      <c r="H16" s="50">
        <f t="shared" si="1"/>
        <v>530</v>
      </c>
      <c r="I16" s="50">
        <f t="shared" si="1"/>
        <v>2120</v>
      </c>
    </row>
    <row r="17" spans="1:10" s="48" customFormat="1" x14ac:dyDescent="0.25">
      <c r="A17" t="s">
        <v>247</v>
      </c>
    </row>
    <row r="18" spans="1:10" s="48" customFormat="1" ht="15.75" thickBot="1" x14ac:dyDescent="0.3">
      <c r="A18" s="47" t="s">
        <v>211</v>
      </c>
      <c r="B18" s="51">
        <f t="shared" ref="B18:I18" si="2">B12+B16</f>
        <v>9516.27</v>
      </c>
      <c r="C18" s="51">
        <f t="shared" si="2"/>
        <v>9516.27</v>
      </c>
      <c r="D18" s="51">
        <f t="shared" si="2"/>
        <v>9516.27</v>
      </c>
      <c r="E18" s="51">
        <f t="shared" si="2"/>
        <v>10036.27</v>
      </c>
      <c r="F18" s="51">
        <f>F12+F16</f>
        <v>9516.27</v>
      </c>
      <c r="G18" s="51">
        <f>G12+G16</f>
        <v>9516.27</v>
      </c>
      <c r="H18" s="51">
        <f t="shared" si="2"/>
        <v>9781.27</v>
      </c>
      <c r="I18" s="51">
        <f t="shared" si="2"/>
        <v>67398.890000000014</v>
      </c>
    </row>
    <row r="20" spans="1:10" s="48" customFormat="1" x14ac:dyDescent="0.25">
      <c r="A20" s="47" t="s">
        <v>299</v>
      </c>
    </row>
    <row r="21" spans="1:10" s="48" customFormat="1" x14ac:dyDescent="0.25">
      <c r="A21" t="s">
        <v>368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f>SUM(B21:H21)</f>
        <v>116900</v>
      </c>
    </row>
    <row r="22" spans="1:10" s="48" customFormat="1" x14ac:dyDescent="0.25">
      <c r="A22" t="s">
        <v>411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f>SUM(B22:H22)</f>
        <v>7000</v>
      </c>
    </row>
    <row r="23" spans="1:10" s="48" customFormat="1" x14ac:dyDescent="0.25">
      <c r="A23" t="s">
        <v>369</v>
      </c>
      <c r="B23" s="48">
        <v>1.01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f>SUM(B23:H23)</f>
        <v>1.01</v>
      </c>
    </row>
    <row r="24" spans="1:10" s="48" customFormat="1" x14ac:dyDescent="0.25">
      <c r="A24" t="s">
        <v>272</v>
      </c>
      <c r="B24" s="48">
        <v>3691.03</v>
      </c>
      <c r="C24" s="48">
        <v>3673.36</v>
      </c>
      <c r="D24" s="48">
        <v>3655.63</v>
      </c>
      <c r="E24" s="48">
        <v>3637.86</v>
      </c>
      <c r="F24" s="48">
        <v>3620.04</v>
      </c>
      <c r="G24" s="48">
        <v>3602.17</v>
      </c>
      <c r="H24" s="48">
        <v>3584.24</v>
      </c>
      <c r="I24" s="48">
        <f>SUM(B24:H24)</f>
        <v>25464.33</v>
      </c>
    </row>
    <row r="25" spans="1:10" s="48" customFormat="1" x14ac:dyDescent="0.25">
      <c r="A25" t="s">
        <v>273</v>
      </c>
      <c r="B25" s="48">
        <v>-860.93</v>
      </c>
      <c r="C25" s="48">
        <v>-860.93</v>
      </c>
      <c r="D25" s="48">
        <v>-860.93</v>
      </c>
      <c r="E25" s="48">
        <v>-860.93</v>
      </c>
      <c r="F25" s="48">
        <v>-860.93</v>
      </c>
      <c r="G25" s="48">
        <v>-860.93</v>
      </c>
      <c r="H25" s="48">
        <v>-860.93</v>
      </c>
      <c r="I25" s="48">
        <f>SUM(B25:H25)</f>
        <v>-6026.51</v>
      </c>
    </row>
    <row r="26" spans="1:10" s="48" customFormat="1" x14ac:dyDescent="0.25">
      <c r="A26" s="47" t="s">
        <v>301</v>
      </c>
      <c r="B26" s="50">
        <f t="shared" ref="B26:I26" si="3">SUM(B21:B25)</f>
        <v>20531.109999999997</v>
      </c>
      <c r="C26" s="50">
        <f t="shared" si="3"/>
        <v>20512.43</v>
      </c>
      <c r="D26" s="50">
        <f t="shared" si="3"/>
        <v>20494.7</v>
      </c>
      <c r="E26" s="50">
        <f t="shared" si="3"/>
        <v>20476.93</v>
      </c>
      <c r="F26" s="50">
        <f>SUM(F21:F25)</f>
        <v>20459.11</v>
      </c>
      <c r="G26" s="50">
        <f>SUM(G21:G25)</f>
        <v>20441.239999999998</v>
      </c>
      <c r="H26" s="50">
        <f t="shared" si="3"/>
        <v>20423.309999999998</v>
      </c>
      <c r="I26" s="50">
        <f t="shared" si="3"/>
        <v>143338.82999999999</v>
      </c>
    </row>
    <row r="28" spans="1:10" ht="15.75" thickBot="1" x14ac:dyDescent="0.3">
      <c r="A28" s="47" t="s">
        <v>302</v>
      </c>
      <c r="B28" s="52">
        <f>B26-B18</f>
        <v>11014.839999999997</v>
      </c>
      <c r="C28" s="52">
        <f t="shared" ref="C28:I28" si="4">C26-C18</f>
        <v>10996.16</v>
      </c>
      <c r="D28" s="52">
        <f t="shared" si="4"/>
        <v>10978.43</v>
      </c>
      <c r="E28" s="52">
        <f t="shared" si="4"/>
        <v>10440.66</v>
      </c>
      <c r="F28" s="52">
        <f>F26-F18</f>
        <v>10942.84</v>
      </c>
      <c r="G28" s="52">
        <f>G26-G18</f>
        <v>10924.969999999998</v>
      </c>
      <c r="H28" s="52">
        <f t="shared" si="4"/>
        <v>10642.039999999997</v>
      </c>
      <c r="I28" s="52">
        <f t="shared" si="4"/>
        <v>75939.939999999973</v>
      </c>
      <c r="J28"/>
    </row>
    <row r="29" spans="1:10" ht="15.75" thickTop="1" x14ac:dyDescent="0.25"/>
  </sheetData>
  <mergeCells count="3">
    <mergeCell ref="A1:I1"/>
    <mergeCell ref="A2:I2"/>
    <mergeCell ref="A3:I3"/>
  </mergeCells>
  <pageMargins left="0.7" right="0.7" top="0.75" bottom="0.75" header="0.3" footer="0.3"/>
  <pageSetup scale="60" fitToHeight="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Summary YTD 07.31.18 (condensd)</vt:lpstr>
      <vt:lpstr>Summary YTD 07.31.18</vt:lpstr>
      <vt:lpstr>Comparative YTD 2018-2017 July</vt:lpstr>
      <vt:lpstr>Comp Summary YTD 2018-2017 July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July'!Print_Area</vt:lpstr>
      <vt:lpstr>'Comparative YTD 2018-2017 July'!Print_Area</vt:lpstr>
      <vt:lpstr>DEP!Print_Area</vt:lpstr>
      <vt:lpstr>'Oliari Co.'!Print_Area</vt:lpstr>
      <vt:lpstr>'Summary YTD 07.31.18'!Print_Area</vt:lpstr>
      <vt:lpstr>'Summary YTD 07.31.18 (condensd)'!Print_Area</vt:lpstr>
      <vt:lpstr>CNT!Print_Titles</vt:lpstr>
      <vt:lpstr>'Comp Summary YTD 2018-2017 July'!Print_Titles</vt:lpstr>
      <vt:lpstr>'Comparative YTD 2018-2017 July'!Print_Titles</vt:lpstr>
      <vt:lpstr>'Summary YTD 07.31.18'!Print_Titles</vt:lpstr>
      <vt:lpstr>'Summary YTD 07.31.18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2018-08-16T16:37:30Z</cp:lastPrinted>
  <dcterms:created xsi:type="dcterms:W3CDTF">2018-05-13T15:03:39Z</dcterms:created>
  <dcterms:modified xsi:type="dcterms:W3CDTF">2018-09-27T12:59:15Z</dcterms:modified>
</cp:coreProperties>
</file>