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tfile.cntofma.local\cntshared\Accting\Pez Work\Published Financial Reports\Combined 2018\"/>
    </mc:Choice>
  </mc:AlternateContent>
  <xr:revisionPtr revIDLastSave="0" documentId="13_ncr:1_{710BF918-7F80-4FD0-9110-9C4DC597452C}" xr6:coauthVersionLast="40" xr6:coauthVersionMax="40" xr10:uidLastSave="{00000000-0000-0000-0000-000000000000}"/>
  <bookViews>
    <workbookView xWindow="28680" yWindow="-120" windowWidth="24240" windowHeight="13740" tabRatio="911" firstSheet="1" activeTab="9" xr2:uid="{00000000-000D-0000-FFFF-FFFF00000000}"/>
  </bookViews>
  <sheets>
    <sheet name="Summary YTD 12.31.18 (condensd)" sheetId="16" r:id="rId1"/>
    <sheet name="Summary YTD 12.31.18" sheetId="11" r:id="rId2"/>
    <sheet name="Comp Summary YTD 2018-2017 Dec" sheetId="15" r:id="rId3"/>
    <sheet name="Comp YTD 2018-2017 Dec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9">'722 Bedford St'!$A$1:$N$29</definedName>
    <definedName name="_xlnm.Print_Area" localSheetId="7">'BSC (Dome)'!$A$1:$N$83</definedName>
    <definedName name="_xlnm.Print_Area" localSheetId="10">CNT!$A$1:$N$291</definedName>
    <definedName name="_xlnm.Print_Area" localSheetId="2">'Comp Summary YTD 2018-2017 Dec'!$A$9:$AE$37</definedName>
    <definedName name="_xlnm.Print_Area" localSheetId="3">'Comp YTD 2018-2017 Dec'!$A$4:$AF$126</definedName>
    <definedName name="_xlnm.Print_Area" localSheetId="4">DEP!$A$1:$N$81</definedName>
    <definedName name="_xlnm.Print_Area" localSheetId="8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10">CNT!$A:$A,CNT!$1:$3</definedName>
    <definedName name="_xlnm.Print_Titles" localSheetId="2">'Comp Summary YTD 2018-2017 Dec'!$9:$18</definedName>
    <definedName name="_xlnm.Print_Titles" localSheetId="3">'Comp YTD 2018-2017 Dec'!$5:$14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6" l="1"/>
  <c r="C35" i="15" l="1"/>
  <c r="C33" i="15"/>
  <c r="C32" i="12"/>
  <c r="M61" i="6"/>
  <c r="D113" i="11" l="1"/>
  <c r="N29" i="5"/>
  <c r="N77" i="5"/>
  <c r="N76" i="5"/>
  <c r="N78" i="5" s="1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G113" i="11"/>
  <c r="G40" i="15"/>
  <c r="G179" i="12"/>
  <c r="H113" i="11"/>
  <c r="H40" i="15"/>
  <c r="H179" i="12"/>
  <c r="F16" i="16"/>
  <c r="F33" i="11"/>
  <c r="F113" i="11"/>
  <c r="F40" i="15"/>
  <c r="F42" i="12"/>
  <c r="N8" i="10"/>
  <c r="N81" i="10" l="1"/>
  <c r="N80" i="10"/>
  <c r="N79" i="10"/>
  <c r="N78" i="10"/>
  <c r="N77" i="10"/>
  <c r="N76" i="10"/>
  <c r="N73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N24" i="10"/>
  <c r="N18" i="10"/>
  <c r="N17" i="10"/>
  <c r="N14" i="10"/>
  <c r="N20" i="10" s="1"/>
  <c r="N83" i="10" s="1"/>
  <c r="N13" i="10"/>
  <c r="O13" i="10" s="1"/>
  <c r="N12" i="10"/>
  <c r="N11" i="10"/>
  <c r="N10" i="10"/>
  <c r="N9" i="10"/>
  <c r="M44" i="10"/>
  <c r="I40" i="16"/>
  <c r="E40" i="16"/>
  <c r="E113" i="11"/>
  <c r="I71" i="11"/>
  <c r="I72" i="11"/>
  <c r="E72" i="11"/>
  <c r="E40" i="15"/>
  <c r="AF81" i="12"/>
  <c r="AB81" i="12"/>
  <c r="Z81" i="12"/>
  <c r="X81" i="12"/>
  <c r="U81" i="12"/>
  <c r="T81" i="12"/>
  <c r="I81" i="12"/>
  <c r="E81" i="12"/>
  <c r="N14" i="7"/>
  <c r="N9" i="7"/>
  <c r="L14" i="7"/>
  <c r="K14" i="7"/>
  <c r="J14" i="7"/>
  <c r="I14" i="7"/>
  <c r="H14" i="7"/>
  <c r="G14" i="7"/>
  <c r="F14" i="7"/>
  <c r="E14" i="7"/>
  <c r="D14" i="7"/>
  <c r="C14" i="7"/>
  <c r="B14" i="7"/>
  <c r="M14" i="7"/>
  <c r="N33" i="10" l="1"/>
  <c r="B33" i="11"/>
  <c r="I33" i="11" s="1"/>
  <c r="AF42" i="12"/>
  <c r="Z42" i="12"/>
  <c r="T42" i="12"/>
  <c r="I42" i="12"/>
  <c r="AB42" i="12" s="1"/>
  <c r="B42" i="12"/>
  <c r="B32" i="12"/>
  <c r="B24" i="11" s="1"/>
  <c r="B16" i="12"/>
  <c r="B8" i="11" s="1"/>
  <c r="B17" i="12"/>
  <c r="B9" i="11" s="1"/>
  <c r="X42" i="12" l="1"/>
  <c r="M129" i="2"/>
  <c r="N199" i="2"/>
  <c r="M199" i="2"/>
  <c r="N213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4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200" i="2" l="1"/>
  <c r="M287" i="2"/>
  <c r="M75" i="2"/>
  <c r="M34" i="12"/>
  <c r="B121" i="12"/>
  <c r="I121" i="12"/>
  <c r="T121" i="12"/>
  <c r="M121" i="12"/>
  <c r="M32" i="12"/>
  <c r="T32" i="12" s="1"/>
  <c r="N32" i="12"/>
  <c r="F32" i="12"/>
  <c r="O118" i="12"/>
  <c r="O54" i="12"/>
  <c r="O48" i="12"/>
  <c r="N28" i="12"/>
  <c r="N27" i="12"/>
  <c r="N26" i="12"/>
  <c r="N118" i="12"/>
  <c r="N30" i="12"/>
  <c r="N29" i="12"/>
  <c r="N20" i="12"/>
  <c r="N17" i="12"/>
  <c r="N16" i="12"/>
  <c r="N22" i="12"/>
  <c r="M99" i="12"/>
  <c r="M76" i="12"/>
  <c r="M118" i="12"/>
  <c r="AB116" i="12"/>
  <c r="T115" i="12"/>
  <c r="T116" i="12"/>
  <c r="I116" i="12"/>
  <c r="M48" i="12"/>
  <c r="M29" i="12"/>
  <c r="M27" i="12"/>
  <c r="M28" i="12"/>
  <c r="M30" i="12"/>
  <c r="M26" i="12"/>
  <c r="M22" i="12"/>
  <c r="M20" i="12"/>
  <c r="M19" i="12"/>
  <c r="M18" i="12"/>
  <c r="M17" i="12"/>
  <c r="M16" i="12"/>
  <c r="Q110" i="12"/>
  <c r="Q104" i="12"/>
  <c r="Q60" i="12"/>
  <c r="Q61" i="12"/>
  <c r="Q41" i="12"/>
  <c r="R104" i="12"/>
  <c r="Z32" i="12" l="1"/>
  <c r="R110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4" i="12"/>
  <c r="L129" i="2"/>
  <c r="L199" i="2"/>
  <c r="L214" i="2"/>
  <c r="L72" i="2" s="1"/>
  <c r="L238" i="2"/>
  <c r="L73" i="2" s="1"/>
  <c r="L270" i="2"/>
  <c r="L74" i="2" s="1"/>
  <c r="L285" i="2"/>
  <c r="L75" i="2" s="1"/>
  <c r="L76" i="2"/>
  <c r="L61" i="2"/>
  <c r="L62" i="2"/>
  <c r="L63" i="2"/>
  <c r="L64" i="2"/>
  <c r="L65" i="2"/>
  <c r="L66" i="2"/>
  <c r="L68" i="2"/>
  <c r="L55" i="2"/>
  <c r="L56" i="2"/>
  <c r="L57" i="2"/>
  <c r="L58" i="2"/>
  <c r="N47" i="2"/>
  <c r="L20" i="2"/>
  <c r="N45" i="2"/>
  <c r="P45" i="2" s="1"/>
  <c r="Q45" i="2" s="1"/>
  <c r="L14" i="2"/>
  <c r="L15" i="2"/>
  <c r="L16" i="2"/>
  <c r="L17" i="2"/>
  <c r="L18" i="2"/>
  <c r="L19" i="2"/>
  <c r="L22" i="2"/>
  <c r="L23" i="2"/>
  <c r="L24" i="2"/>
  <c r="L25" i="2"/>
  <c r="L27" i="2"/>
  <c r="L28" i="2"/>
  <c r="L29" i="2"/>
  <c r="L30" i="2"/>
  <c r="L32" i="2"/>
  <c r="L33" i="2"/>
  <c r="L5" i="2"/>
  <c r="L6" i="2"/>
  <c r="L7" i="2"/>
  <c r="L8" i="2"/>
  <c r="L9" i="2"/>
  <c r="L10" i="2"/>
  <c r="K129" i="2"/>
  <c r="K199" i="2"/>
  <c r="K214" i="2"/>
  <c r="K238" i="2"/>
  <c r="K270" i="2"/>
  <c r="K285" i="2"/>
  <c r="N233" i="2"/>
  <c r="B75" i="12" s="1"/>
  <c r="N232" i="2"/>
  <c r="N229" i="2"/>
  <c r="B199" i="2"/>
  <c r="E199" i="2"/>
  <c r="G199" i="2"/>
  <c r="H199" i="2"/>
  <c r="I199" i="2"/>
  <c r="J199" i="2"/>
  <c r="N198" i="2"/>
  <c r="B170" i="12" l="1"/>
  <c r="B141" i="12" l="1"/>
  <c r="B140" i="12"/>
  <c r="B128" i="12"/>
  <c r="B129" i="12"/>
  <c r="B127" i="12"/>
  <c r="B126" i="12"/>
  <c r="B125" i="12"/>
  <c r="B135" i="12" l="1"/>
  <c r="D135" i="12"/>
  <c r="C135" i="12"/>
  <c r="D134" i="12" l="1"/>
  <c r="D157" i="12" s="1"/>
  <c r="C134" i="12"/>
  <c r="C157" i="12" s="1"/>
  <c r="B134" i="12"/>
  <c r="B157" i="12"/>
  <c r="C133" i="12"/>
  <c r="C156" i="12" s="1"/>
  <c r="B133" i="12"/>
  <c r="B156" i="12" s="1"/>
  <c r="C132" i="12"/>
  <c r="B132" i="12"/>
  <c r="B155" i="12" s="1"/>
  <c r="C131" i="12"/>
  <c r="C154" i="12" s="1"/>
  <c r="B131" i="12"/>
  <c r="B154" i="12" s="1"/>
  <c r="B130" i="12"/>
  <c r="B153" i="12" s="1"/>
  <c r="D170" i="12"/>
  <c r="C170" i="12"/>
  <c r="D159" i="12"/>
  <c r="C159" i="12"/>
  <c r="E157" i="12"/>
  <c r="D156" i="12"/>
  <c r="D155" i="12"/>
  <c r="D154" i="12"/>
  <c r="D153" i="12"/>
  <c r="C153" i="12"/>
  <c r="D152" i="12"/>
  <c r="C152" i="12"/>
  <c r="B152" i="12"/>
  <c r="B151" i="12"/>
  <c r="D150" i="12"/>
  <c r="C150" i="12"/>
  <c r="B150" i="12"/>
  <c r="D149" i="12"/>
  <c r="C149" i="12"/>
  <c r="B149" i="12"/>
  <c r="D148" i="12"/>
  <c r="C148" i="12"/>
  <c r="B148" i="12"/>
  <c r="I143" i="12"/>
  <c r="D142" i="12"/>
  <c r="C142" i="12"/>
  <c r="B142" i="12"/>
  <c r="H137" i="12"/>
  <c r="G137" i="12"/>
  <c r="F137" i="12"/>
  <c r="E137" i="12"/>
  <c r="B159" i="12"/>
  <c r="J135" i="12"/>
  <c r="D158" i="12"/>
  <c r="C158" i="12"/>
  <c r="I135" i="12"/>
  <c r="J134" i="12"/>
  <c r="J133" i="12"/>
  <c r="J132" i="12"/>
  <c r="J131" i="12"/>
  <c r="I129" i="12"/>
  <c r="D151" i="12"/>
  <c r="I128" i="12"/>
  <c r="I127" i="12"/>
  <c r="I126" i="12"/>
  <c r="I125" i="12"/>
  <c r="I130" i="12" l="1"/>
  <c r="I149" i="12"/>
  <c r="I132" i="12"/>
  <c r="I159" i="12"/>
  <c r="I134" i="12"/>
  <c r="I133" i="12"/>
  <c r="C137" i="12"/>
  <c r="C155" i="12"/>
  <c r="I155" i="12" s="1"/>
  <c r="I157" i="12"/>
  <c r="I156" i="12"/>
  <c r="I153" i="12"/>
  <c r="I152" i="12"/>
  <c r="I150" i="12"/>
  <c r="I148" i="12"/>
  <c r="I154" i="12"/>
  <c r="D160" i="12"/>
  <c r="B137" i="12"/>
  <c r="I131" i="12"/>
  <c r="C151" i="12"/>
  <c r="I136" i="12"/>
  <c r="D137" i="12"/>
  <c r="B158" i="12"/>
  <c r="I158" i="12" s="1"/>
  <c r="I137" i="12" l="1"/>
  <c r="C160" i="12"/>
  <c r="C171" i="12" s="1"/>
  <c r="B160" i="12"/>
  <c r="I160" i="12" s="1"/>
  <c r="I151" i="12"/>
  <c r="B162" i="12"/>
  <c r="C164" i="12"/>
  <c r="D171" i="12"/>
  <c r="D165" i="12"/>
  <c r="B161" i="12"/>
  <c r="B163" i="12" l="1"/>
  <c r="I171" i="12"/>
  <c r="M78" i="5" l="1"/>
  <c r="K78" i="5"/>
  <c r="K71" i="5"/>
  <c r="K40" i="5"/>
  <c r="K54" i="5" s="1"/>
  <c r="K39" i="5"/>
  <c r="K36" i="5"/>
  <c r="K17" i="5"/>
  <c r="K25" i="5" s="1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N46" i="6" l="1"/>
  <c r="C46" i="12" s="1"/>
  <c r="C37" i="11" l="1"/>
  <c r="K32" i="2"/>
  <c r="F65" i="16" l="1"/>
  <c r="K76" i="2" l="1"/>
  <c r="K61" i="2"/>
  <c r="K62" i="2"/>
  <c r="K63" i="2"/>
  <c r="K64" i="2"/>
  <c r="K65" i="2"/>
  <c r="K66" i="2"/>
  <c r="K68" i="2"/>
  <c r="K55" i="2"/>
  <c r="K56" i="2"/>
  <c r="K57" i="2"/>
  <c r="K58" i="2"/>
  <c r="K74" i="2"/>
  <c r="K75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3" i="2"/>
  <c r="K5" i="2"/>
  <c r="K6" i="2"/>
  <c r="K7" i="2"/>
  <c r="K8" i="2"/>
  <c r="K9" i="2"/>
  <c r="K10" i="2"/>
  <c r="K73" i="2"/>
  <c r="K72" i="2"/>
  <c r="N68" i="5" l="1"/>
  <c r="D75" i="11" s="1"/>
  <c r="D84" i="12" l="1"/>
  <c r="N15" i="17" l="1"/>
  <c r="H76" i="11" l="1"/>
  <c r="H85" i="12"/>
  <c r="T28" i="12"/>
  <c r="T30" i="12"/>
  <c r="T17" i="12"/>
  <c r="T21" i="12"/>
  <c r="T31" i="12"/>
  <c r="N274" i="2"/>
  <c r="N275" i="2"/>
  <c r="N276" i="2"/>
  <c r="N277" i="2"/>
  <c r="N278" i="2"/>
  <c r="N279" i="2"/>
  <c r="N280" i="2"/>
  <c r="N281" i="2"/>
  <c r="N282" i="2"/>
  <c r="N283" i="2"/>
  <c r="N284" i="2"/>
  <c r="N241" i="2"/>
  <c r="N242" i="2"/>
  <c r="N243" i="2"/>
  <c r="N244" i="2"/>
  <c r="N245" i="2"/>
  <c r="N246" i="2"/>
  <c r="N247" i="2"/>
  <c r="N248" i="2"/>
  <c r="N249" i="2"/>
  <c r="N250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30" i="2"/>
  <c r="N231" i="2"/>
  <c r="N234" i="2"/>
  <c r="N235" i="2"/>
  <c r="B73" i="12" s="1"/>
  <c r="N236" i="2"/>
  <c r="N237" i="2"/>
  <c r="N203" i="2"/>
  <c r="N182" i="2"/>
  <c r="N183" i="2"/>
  <c r="N184" i="2"/>
  <c r="N185" i="2"/>
  <c r="N186" i="2"/>
  <c r="N187" i="2"/>
  <c r="N188" i="2"/>
  <c r="N190" i="2"/>
  <c r="N191" i="2"/>
  <c r="N192" i="2"/>
  <c r="N193" i="2"/>
  <c r="N194" i="2"/>
  <c r="N195" i="2"/>
  <c r="N196" i="2"/>
  <c r="N197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5" i="2"/>
  <c r="N176" i="2"/>
  <c r="N177" i="2"/>
  <c r="N178" i="2"/>
  <c r="N179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6" i="2"/>
  <c r="N67" i="2"/>
  <c r="N42" i="2"/>
  <c r="N44" i="2"/>
  <c r="N46" i="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N66" i="6"/>
  <c r="J76" i="6"/>
  <c r="J63" i="6"/>
  <c r="J70" i="6" s="1"/>
  <c r="J56" i="6"/>
  <c r="J49" i="6"/>
  <c r="J36" i="6"/>
  <c r="J17" i="6"/>
  <c r="N65" i="5"/>
  <c r="J78" i="5"/>
  <c r="J71" i="5"/>
  <c r="J43" i="5"/>
  <c r="J39" i="5"/>
  <c r="J34" i="5"/>
  <c r="J36" i="5" s="1"/>
  <c r="J17" i="5"/>
  <c r="B31" i="12" l="1"/>
  <c r="N129" i="2"/>
  <c r="J38" i="6"/>
  <c r="T19" i="12"/>
  <c r="T27" i="12"/>
  <c r="T29" i="12"/>
  <c r="T20" i="12"/>
  <c r="T18" i="12"/>
  <c r="T26" i="12"/>
  <c r="J20" i="10"/>
  <c r="J73" i="10"/>
  <c r="T33" i="12"/>
  <c r="J25" i="5"/>
  <c r="J54" i="5"/>
  <c r="J73" i="5" s="1"/>
  <c r="J21" i="7"/>
  <c r="J18" i="14"/>
  <c r="J29" i="14" s="1"/>
  <c r="T16" i="12"/>
  <c r="J78" i="6"/>
  <c r="J80" i="6" s="1"/>
  <c r="J19" i="17"/>
  <c r="J29" i="17" s="1"/>
  <c r="T22" i="12"/>
  <c r="J80" i="5" l="1"/>
  <c r="J83" i="5" s="1"/>
  <c r="J83" i="10"/>
  <c r="J86" i="10" s="1"/>
  <c r="N23" i="14"/>
  <c r="N63" i="6" l="1"/>
  <c r="M70" i="6"/>
  <c r="N68" i="6"/>
  <c r="N62" i="6"/>
  <c r="N67" i="6"/>
  <c r="N47" i="6"/>
  <c r="N54" i="6"/>
  <c r="N53" i="6"/>
  <c r="N44" i="6"/>
  <c r="N45" i="6"/>
  <c r="M49" i="6"/>
  <c r="I49" i="6"/>
  <c r="H49" i="6"/>
  <c r="G49" i="6"/>
  <c r="F49" i="6"/>
  <c r="E49" i="6"/>
  <c r="D49" i="6"/>
  <c r="C49" i="6"/>
  <c r="B49" i="6"/>
  <c r="N48" i="6"/>
  <c r="N43" i="6"/>
  <c r="C64" i="12" l="1"/>
  <c r="C55" i="11"/>
  <c r="C45" i="12"/>
  <c r="C36" i="11"/>
  <c r="C79" i="11"/>
  <c r="C88" i="12"/>
  <c r="C41" i="12"/>
  <c r="C32" i="11"/>
  <c r="C44" i="12"/>
  <c r="C35" i="11"/>
  <c r="C71" i="12"/>
  <c r="C56" i="11"/>
  <c r="C87" i="12"/>
  <c r="C78" i="11"/>
  <c r="C63" i="11"/>
  <c r="C72" i="12"/>
  <c r="C38" i="11"/>
  <c r="C47" i="12"/>
  <c r="C50" i="12"/>
  <c r="C41" i="11"/>
  <c r="C51" i="11"/>
  <c r="C61" i="12"/>
  <c r="C64" i="11"/>
  <c r="C73" i="12"/>
  <c r="N49" i="6"/>
  <c r="N67" i="5"/>
  <c r="N66" i="5"/>
  <c r="H34" i="5"/>
  <c r="G34" i="5"/>
  <c r="B36" i="5"/>
  <c r="N34" i="5" l="1"/>
  <c r="D86" i="11"/>
  <c r="D95" i="12"/>
  <c r="D83" i="11"/>
  <c r="D92" i="12"/>
  <c r="D79" i="11"/>
  <c r="D88" i="12"/>
  <c r="B69" i="12"/>
  <c r="B68" i="12"/>
  <c r="B60" i="11" s="1"/>
  <c r="B67" i="12"/>
  <c r="B59" i="11" s="1"/>
  <c r="B63" i="12"/>
  <c r="B54" i="11" s="1"/>
  <c r="B62" i="12"/>
  <c r="B53" i="11" s="1"/>
  <c r="B60" i="12"/>
  <c r="B51" i="11" s="1"/>
  <c r="B57" i="12"/>
  <c r="B48" i="11" s="1"/>
  <c r="B56" i="12"/>
  <c r="B47" i="11" s="1"/>
  <c r="B55" i="12"/>
  <c r="B46" i="11" s="1"/>
  <c r="B97" i="11"/>
  <c r="B80" i="11"/>
  <c r="B74" i="11"/>
  <c r="B57" i="11"/>
  <c r="B52" i="11"/>
  <c r="B23" i="11"/>
  <c r="B30" i="12"/>
  <c r="B22" i="11" s="1"/>
  <c r="B28" i="12"/>
  <c r="B20" i="11" s="1"/>
  <c r="B27" i="12"/>
  <c r="B19" i="11" s="1"/>
  <c r="B26" i="12"/>
  <c r="B93" i="12"/>
  <c r="B84" i="11" s="1"/>
  <c r="B66" i="12"/>
  <c r="B58" i="11" s="1"/>
  <c r="B66" i="11"/>
  <c r="B65" i="11"/>
  <c r="B71" i="12"/>
  <c r="B56" i="11" s="1"/>
  <c r="B70" i="12"/>
  <c r="B62" i="11" s="1"/>
  <c r="B59" i="12"/>
  <c r="B50" i="11" s="1"/>
  <c r="B58" i="12"/>
  <c r="B49" i="11" s="1"/>
  <c r="B22" i="12"/>
  <c r="B14" i="11" s="1"/>
  <c r="B21" i="12"/>
  <c r="B13" i="11" s="1"/>
  <c r="B20" i="12"/>
  <c r="B12" i="11" s="1"/>
  <c r="B19" i="12"/>
  <c r="B11" i="11" s="1"/>
  <c r="B18" i="12"/>
  <c r="B10" i="11" s="1"/>
  <c r="B61" i="11" l="1"/>
  <c r="B23" i="12"/>
  <c r="B18" i="11"/>
  <c r="D48" i="12"/>
  <c r="D39" i="11"/>
  <c r="J62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9" i="2"/>
  <c r="I6" i="2"/>
  <c r="I214" i="2"/>
  <c r="I238" i="2"/>
  <c r="I270" i="2"/>
  <c r="I285" i="2"/>
  <c r="J238" i="2"/>
  <c r="J49" i="2" l="1"/>
  <c r="N62" i="5" l="1"/>
  <c r="N69" i="6" l="1"/>
  <c r="N8" i="6"/>
  <c r="C95" i="12" l="1"/>
  <c r="C86" i="11"/>
  <c r="J285" i="2" l="1"/>
  <c r="J270" i="2"/>
  <c r="J214" i="2"/>
  <c r="J129" i="2"/>
  <c r="I27" i="17"/>
  <c r="I17" i="17"/>
  <c r="I12" i="17"/>
  <c r="N10" i="14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N12" i="6"/>
  <c r="N11" i="6"/>
  <c r="N15" i="6"/>
  <c r="B21" i="7"/>
  <c r="B19" i="7"/>
  <c r="C21" i="12" l="1"/>
  <c r="C13" i="11" s="1"/>
  <c r="M17" i="6"/>
  <c r="H238" i="2" l="1"/>
  <c r="H73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P42" i="2"/>
  <c r="Q42" i="2" s="1"/>
  <c r="G41" i="2"/>
  <c r="C41" i="2"/>
  <c r="B41" i="2"/>
  <c r="I10" i="2"/>
  <c r="I9" i="2"/>
  <c r="I8" i="2"/>
  <c r="I7" i="2"/>
  <c r="I5" i="2"/>
  <c r="N41" i="2" l="1"/>
  <c r="P41" i="2" s="1"/>
  <c r="Q41" i="2" s="1"/>
  <c r="I49" i="2"/>
  <c r="H285" i="2" l="1"/>
  <c r="H75" i="2" s="1"/>
  <c r="H270" i="2"/>
  <c r="H74" i="2" s="1"/>
  <c r="H212" i="2"/>
  <c r="N212" i="2" s="1"/>
  <c r="H211" i="2"/>
  <c r="N211" i="2" s="1"/>
  <c r="H210" i="2"/>
  <c r="N210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129" i="2"/>
  <c r="H93" i="2"/>
  <c r="H92" i="2"/>
  <c r="H76" i="2"/>
  <c r="H68" i="2"/>
  <c r="H94" i="2" s="1"/>
  <c r="H66" i="2"/>
  <c r="H65" i="2"/>
  <c r="H64" i="2"/>
  <c r="H63" i="2"/>
  <c r="H62" i="2"/>
  <c r="H61" i="2"/>
  <c r="H90" i="2" s="1"/>
  <c r="H58" i="2"/>
  <c r="H57" i="2"/>
  <c r="H56" i="2"/>
  <c r="H86" i="2" s="1"/>
  <c r="H55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Z117" i="12"/>
  <c r="S118" i="12"/>
  <c r="T114" i="12"/>
  <c r="Z114" i="12" s="1"/>
  <c r="T113" i="12"/>
  <c r="Z113" i="12" s="1"/>
  <c r="T112" i="12"/>
  <c r="R118" i="12"/>
  <c r="Q118" i="12"/>
  <c r="P118" i="12"/>
  <c r="B48" i="12" l="1"/>
  <c r="N214" i="2"/>
  <c r="H78" i="6"/>
  <c r="H73" i="5"/>
  <c r="H214" i="2"/>
  <c r="H72" i="2" s="1"/>
  <c r="H20" i="10"/>
  <c r="H25" i="5"/>
  <c r="H38" i="6"/>
  <c r="H59" i="2"/>
  <c r="H11" i="2"/>
  <c r="H200" i="2"/>
  <c r="H69" i="2"/>
  <c r="H85" i="2"/>
  <c r="H87" i="2" s="1"/>
  <c r="H73" i="10"/>
  <c r="H19" i="17"/>
  <c r="H29" i="17" s="1"/>
  <c r="H49" i="2"/>
  <c r="H34" i="2"/>
  <c r="H91" i="2"/>
  <c r="H95" i="2" s="1"/>
  <c r="H96" i="2" s="1"/>
  <c r="H29" i="14"/>
  <c r="H70" i="2" l="1"/>
  <c r="H80" i="5"/>
  <c r="H83" i="5" s="1"/>
  <c r="H77" i="2"/>
  <c r="H80" i="6"/>
  <c r="H83" i="10"/>
  <c r="H86" i="10" s="1"/>
  <c r="H35" i="2"/>
  <c r="H36" i="2" s="1"/>
  <c r="H287" i="2"/>
  <c r="B270" i="2"/>
  <c r="B285" i="2"/>
  <c r="C285" i="2"/>
  <c r="D285" i="2"/>
  <c r="E285" i="2"/>
  <c r="F285" i="2"/>
  <c r="G285" i="2"/>
  <c r="H50" i="2" l="1"/>
  <c r="H78" i="2"/>
  <c r="H82" i="2" s="1"/>
  <c r="H289" i="2" l="1"/>
  <c r="B117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7" i="12"/>
  <c r="AB117" i="12" s="1"/>
  <c r="N25" i="6"/>
  <c r="C23" i="11" l="1"/>
  <c r="G80" i="5"/>
  <c r="G83" i="5" s="1"/>
  <c r="C31" i="12"/>
  <c r="N273" i="2" l="1"/>
  <c r="N285" i="2" s="1"/>
  <c r="I76" i="2"/>
  <c r="I75" i="2"/>
  <c r="G129" i="2"/>
  <c r="G214" i="2"/>
  <c r="G238" i="2"/>
  <c r="G270" i="2"/>
  <c r="I73" i="2"/>
  <c r="I93" i="2"/>
  <c r="I92" i="2"/>
  <c r="I68" i="2"/>
  <c r="I94" i="2" s="1"/>
  <c r="I66" i="2"/>
  <c r="I65" i="2"/>
  <c r="I64" i="2"/>
  <c r="I63" i="2"/>
  <c r="I62" i="2"/>
  <c r="I91" i="2" s="1"/>
  <c r="I61" i="2"/>
  <c r="I90" i="2" s="1"/>
  <c r="I58" i="2"/>
  <c r="I57" i="2"/>
  <c r="I56" i="2"/>
  <c r="I86" i="2" s="1"/>
  <c r="I55" i="2"/>
  <c r="I85" i="2" s="1"/>
  <c r="I72" i="2" l="1"/>
  <c r="I11" i="2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T41" i="12"/>
  <c r="Z41" i="12" s="1"/>
  <c r="G19" i="7"/>
  <c r="G21" i="7" s="1"/>
  <c r="N28" i="6"/>
  <c r="G76" i="6"/>
  <c r="G70" i="6"/>
  <c r="G56" i="6"/>
  <c r="G36" i="6"/>
  <c r="G17" i="6"/>
  <c r="Z29" i="12"/>
  <c r="Z16" i="12"/>
  <c r="G27" i="17"/>
  <c r="G17" i="17"/>
  <c r="G12" i="17"/>
  <c r="G19" i="17" s="1"/>
  <c r="G29" i="17" s="1"/>
  <c r="R51" i="12"/>
  <c r="G27" i="14"/>
  <c r="G16" i="14"/>
  <c r="G12" i="14"/>
  <c r="G18" i="14" s="1"/>
  <c r="G56" i="11"/>
  <c r="G28" i="16" s="1"/>
  <c r="I69" i="11"/>
  <c r="AF89" i="12"/>
  <c r="AF88" i="12"/>
  <c r="AF87" i="12"/>
  <c r="B214" i="2"/>
  <c r="B72" i="2" s="1"/>
  <c r="C214" i="2"/>
  <c r="C72" i="2" s="1"/>
  <c r="D214" i="2"/>
  <c r="D72" i="2" s="1"/>
  <c r="E214" i="2"/>
  <c r="F214" i="2"/>
  <c r="F72" i="2" s="1"/>
  <c r="G43" i="2"/>
  <c r="G40" i="2"/>
  <c r="G39" i="2"/>
  <c r="G38" i="2"/>
  <c r="G20" i="2"/>
  <c r="G18" i="2"/>
  <c r="G8" i="2"/>
  <c r="C270" i="2"/>
  <c r="C74" i="2" s="1"/>
  <c r="D270" i="2"/>
  <c r="D74" i="2" s="1"/>
  <c r="F270" i="2"/>
  <c r="F74" i="2" s="1"/>
  <c r="B238" i="2"/>
  <c r="B73" i="2" s="1"/>
  <c r="C238" i="2"/>
  <c r="D238" i="2"/>
  <c r="D73" i="2" s="1"/>
  <c r="E238" i="2"/>
  <c r="E73" i="2" s="1"/>
  <c r="F238" i="2"/>
  <c r="F73" i="2" s="1"/>
  <c r="C199" i="2"/>
  <c r="G61" i="2"/>
  <c r="G90" i="2" s="1"/>
  <c r="G63" i="2"/>
  <c r="G64" i="2"/>
  <c r="G66" i="2"/>
  <c r="G68" i="2"/>
  <c r="G94" i="2" s="1"/>
  <c r="G55" i="2"/>
  <c r="G85" i="2" s="1"/>
  <c r="G56" i="2"/>
  <c r="G86" i="2" s="1"/>
  <c r="G57" i="2"/>
  <c r="G58" i="2"/>
  <c r="G65" i="2"/>
  <c r="G62" i="2"/>
  <c r="N61" i="5"/>
  <c r="D87" i="12" s="1"/>
  <c r="N22" i="5"/>
  <c r="N16" i="5"/>
  <c r="N15" i="5"/>
  <c r="C17" i="5"/>
  <c r="D17" i="5"/>
  <c r="E17" i="5"/>
  <c r="F17" i="5"/>
  <c r="B17" i="5"/>
  <c r="M17" i="5"/>
  <c r="M19" i="7"/>
  <c r="N12" i="7"/>
  <c r="N13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N10" i="7"/>
  <c r="E82" i="12" s="1"/>
  <c r="F19" i="7"/>
  <c r="F21" i="7"/>
  <c r="M56" i="6"/>
  <c r="C16" i="12"/>
  <c r="F76" i="6"/>
  <c r="F70" i="6"/>
  <c r="F56" i="6"/>
  <c r="F31" i="6"/>
  <c r="F13" i="6"/>
  <c r="F17" i="6" s="1"/>
  <c r="N58" i="5"/>
  <c r="N59" i="5"/>
  <c r="D93" i="12" s="1"/>
  <c r="N60" i="5"/>
  <c r="D90" i="12" s="1"/>
  <c r="D85" i="12"/>
  <c r="N63" i="5"/>
  <c r="N69" i="5"/>
  <c r="D56" i="11" s="1"/>
  <c r="D28" i="16" s="1"/>
  <c r="N70" i="5"/>
  <c r="N57" i="5"/>
  <c r="N71" i="5" s="1"/>
  <c r="N41" i="5"/>
  <c r="N42" i="5"/>
  <c r="D50" i="11" s="1"/>
  <c r="N43" i="5"/>
  <c r="N44" i="5"/>
  <c r="N45" i="5"/>
  <c r="N46" i="5"/>
  <c r="N47" i="5"/>
  <c r="N48" i="5"/>
  <c r="N49" i="5"/>
  <c r="N50" i="5"/>
  <c r="D61" i="11" s="1"/>
  <c r="D31" i="16" s="1"/>
  <c r="N51" i="5"/>
  <c r="N52" i="5"/>
  <c r="N53" i="5"/>
  <c r="N30" i="5"/>
  <c r="N31" i="5"/>
  <c r="N32" i="5"/>
  <c r="D46" i="12" s="1"/>
  <c r="N33" i="5"/>
  <c r="N21" i="5"/>
  <c r="N20" i="5"/>
  <c r="N23" i="5" s="1"/>
  <c r="D32" i="12" s="1"/>
  <c r="N9" i="5"/>
  <c r="N10" i="5"/>
  <c r="N14" i="5"/>
  <c r="N11" i="5"/>
  <c r="N12" i="5"/>
  <c r="N13" i="5"/>
  <c r="N8" i="5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N16" i="17"/>
  <c r="H82" i="12" s="1"/>
  <c r="H99" i="12" s="1"/>
  <c r="H32" i="15" s="1"/>
  <c r="G51" i="12"/>
  <c r="G30" i="15" s="1"/>
  <c r="G34" i="12"/>
  <c r="G24" i="15" s="1"/>
  <c r="G25" i="15" s="1"/>
  <c r="G9" i="16" s="1"/>
  <c r="G23" i="12"/>
  <c r="Q35" i="15"/>
  <c r="R99" i="12"/>
  <c r="Q32" i="15" s="1"/>
  <c r="R76" i="12"/>
  <c r="Q31" i="15" s="1"/>
  <c r="R34" i="12"/>
  <c r="Q24" i="15" s="1"/>
  <c r="Q25" i="15" s="1"/>
  <c r="R23" i="12"/>
  <c r="N11" i="17"/>
  <c r="N23" i="17"/>
  <c r="N24" i="17"/>
  <c r="N25" i="17"/>
  <c r="N26" i="17"/>
  <c r="N22" i="17"/>
  <c r="N10" i="17"/>
  <c r="H56" i="11" s="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G20" i="15"/>
  <c r="G21" i="15" s="1"/>
  <c r="Q20" i="15"/>
  <c r="Q21" i="15" s="1"/>
  <c r="T104" i="12"/>
  <c r="Z10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N25" i="14"/>
  <c r="G100" i="11" s="1"/>
  <c r="G59" i="16" s="1"/>
  <c r="N24" i="14"/>
  <c r="G102" i="11" s="1"/>
  <c r="G58" i="16" s="1"/>
  <c r="N22" i="14"/>
  <c r="N21" i="14"/>
  <c r="M16" i="14"/>
  <c r="E16" i="14"/>
  <c r="D16" i="14"/>
  <c r="C16" i="14"/>
  <c r="B16" i="14"/>
  <c r="N15" i="14"/>
  <c r="N16" i="14" s="1"/>
  <c r="N11" i="14"/>
  <c r="G69" i="12" s="1"/>
  <c r="M12" i="14"/>
  <c r="E12" i="14"/>
  <c r="C12" i="14"/>
  <c r="C18" i="14" s="1"/>
  <c r="B12" i="14"/>
  <c r="R35" i="15"/>
  <c r="Q51" i="12"/>
  <c r="P30" i="15" s="1"/>
  <c r="Q34" i="12"/>
  <c r="P24" i="15" s="1"/>
  <c r="P25" i="15" s="1"/>
  <c r="Q23" i="12"/>
  <c r="H51" i="12"/>
  <c r="H30" i="15" s="1"/>
  <c r="G111" i="12"/>
  <c r="H44" i="16"/>
  <c r="Q99" i="12"/>
  <c r="P32" i="15" s="1"/>
  <c r="N26" i="14"/>
  <c r="G110" i="12" s="1"/>
  <c r="D12" i="14"/>
  <c r="Z52" i="12"/>
  <c r="Z53" i="12"/>
  <c r="Z77" i="12"/>
  <c r="Z78" i="12"/>
  <c r="Z102" i="12"/>
  <c r="Z103" i="12"/>
  <c r="Z107" i="12"/>
  <c r="Z112" i="12"/>
  <c r="Z115" i="12"/>
  <c r="T106" i="12"/>
  <c r="Z106" i="12" s="1"/>
  <c r="D145" i="2"/>
  <c r="F145" i="2"/>
  <c r="F199" i="2" s="1"/>
  <c r="T88" i="12"/>
  <c r="Z88" i="12" s="1"/>
  <c r="F19" i="2"/>
  <c r="N19" i="2" s="1"/>
  <c r="B112" i="12"/>
  <c r="B115" i="12"/>
  <c r="I74" i="2"/>
  <c r="I77" i="2" s="1"/>
  <c r="J74" i="2"/>
  <c r="B28" i="16"/>
  <c r="B85" i="12"/>
  <c r="B76" i="11" s="1"/>
  <c r="F5" i="2"/>
  <c r="T80" i="12"/>
  <c r="Z80" i="12" s="1"/>
  <c r="T71" i="12"/>
  <c r="Z71" i="12" s="1"/>
  <c r="T89" i="12"/>
  <c r="Z89" i="12" s="1"/>
  <c r="F64" i="5"/>
  <c r="N64" i="5" s="1"/>
  <c r="F40" i="5"/>
  <c r="N40" i="5" s="1"/>
  <c r="F39" i="5"/>
  <c r="E78" i="5"/>
  <c r="E71" i="5"/>
  <c r="E39" i="5"/>
  <c r="E54" i="5" s="1"/>
  <c r="E36" i="5"/>
  <c r="C19" i="7"/>
  <c r="D19" i="7"/>
  <c r="E19" i="7"/>
  <c r="N18" i="7"/>
  <c r="E101" i="11" s="1"/>
  <c r="E60" i="16" s="1"/>
  <c r="M36" i="6"/>
  <c r="M38" i="6" s="1"/>
  <c r="C76" i="6"/>
  <c r="D76" i="6"/>
  <c r="E76" i="6"/>
  <c r="M76" i="6"/>
  <c r="M78" i="6" s="1"/>
  <c r="M80" i="6" s="1"/>
  <c r="B76" i="6"/>
  <c r="N74" i="6"/>
  <c r="N64" i="6"/>
  <c r="N65" i="6"/>
  <c r="C31" i="6"/>
  <c r="C36" i="6" s="1"/>
  <c r="N30" i="6"/>
  <c r="N29" i="6"/>
  <c r="N35" i="6"/>
  <c r="N21" i="6"/>
  <c r="N22" i="6"/>
  <c r="N23" i="6"/>
  <c r="N24" i="6"/>
  <c r="N26" i="6"/>
  <c r="N27" i="6"/>
  <c r="N32" i="6"/>
  <c r="N33" i="6"/>
  <c r="N34" i="6"/>
  <c r="N20" i="6"/>
  <c r="N34" i="12"/>
  <c r="E70" i="6"/>
  <c r="E56" i="6"/>
  <c r="E36" i="6"/>
  <c r="E17" i="6"/>
  <c r="S76" i="12"/>
  <c r="R31" i="15" s="1"/>
  <c r="T90" i="12"/>
  <c r="Z90" i="12" s="1"/>
  <c r="T119" i="12"/>
  <c r="Z119" i="12" s="1"/>
  <c r="I119" i="12"/>
  <c r="N35" i="15"/>
  <c r="M35" i="15"/>
  <c r="T111" i="12"/>
  <c r="Z111" i="12" s="1"/>
  <c r="T109" i="12"/>
  <c r="Z109" i="12" s="1"/>
  <c r="T108" i="12"/>
  <c r="Z108" i="12" s="1"/>
  <c r="T105" i="12"/>
  <c r="Z105" i="12" s="1"/>
  <c r="T100" i="12"/>
  <c r="Z100" i="12" s="1"/>
  <c r="I100" i="12"/>
  <c r="P99" i="12"/>
  <c r="O32" i="15" s="1"/>
  <c r="O99" i="12"/>
  <c r="N32" i="15" s="1"/>
  <c r="N99" i="12"/>
  <c r="M32" i="15" s="1"/>
  <c r="L32" i="15"/>
  <c r="T98" i="12"/>
  <c r="Z98" i="12" s="1"/>
  <c r="T97" i="12"/>
  <c r="Z97" i="12" s="1"/>
  <c r="T96" i="12"/>
  <c r="Z96" i="12" s="1"/>
  <c r="T95" i="12"/>
  <c r="Z95" i="12" s="1"/>
  <c r="T94" i="12"/>
  <c r="Z94" i="12" s="1"/>
  <c r="T93" i="12"/>
  <c r="Z93" i="12" s="1"/>
  <c r="C93" i="12"/>
  <c r="T92" i="12"/>
  <c r="Z92" i="12" s="1"/>
  <c r="C92" i="12"/>
  <c r="T91" i="12"/>
  <c r="Z91" i="12" s="1"/>
  <c r="T87" i="12"/>
  <c r="Z87" i="12" s="1"/>
  <c r="T86" i="12"/>
  <c r="Z86" i="12" s="1"/>
  <c r="T85" i="12"/>
  <c r="T84" i="12"/>
  <c r="Z84" i="12" s="1"/>
  <c r="T83" i="12"/>
  <c r="Z83" i="12" s="1"/>
  <c r="T82" i="12"/>
  <c r="Z82" i="12" s="1"/>
  <c r="T79" i="12"/>
  <c r="Z79" i="12" s="1"/>
  <c r="P76" i="12"/>
  <c r="O31" i="15" s="1"/>
  <c r="N76" i="12"/>
  <c r="M31" i="15" s="1"/>
  <c r="AF75" i="12"/>
  <c r="T75" i="12"/>
  <c r="Z75" i="12" s="1"/>
  <c r="AF74" i="12"/>
  <c r="T74" i="12"/>
  <c r="Z74" i="12" s="1"/>
  <c r="T73" i="12"/>
  <c r="T72" i="12"/>
  <c r="Z72" i="12" s="1"/>
  <c r="T70" i="12"/>
  <c r="Z70" i="12" s="1"/>
  <c r="T69" i="12"/>
  <c r="Z69" i="12" s="1"/>
  <c r="T68" i="12"/>
  <c r="Z68" i="12" s="1"/>
  <c r="T67" i="12"/>
  <c r="Z67" i="12" s="1"/>
  <c r="T66" i="12"/>
  <c r="Z66" i="12" s="1"/>
  <c r="T65" i="12"/>
  <c r="Z65" i="12" s="1"/>
  <c r="T64" i="12"/>
  <c r="T63" i="12"/>
  <c r="Z63" i="12" s="1"/>
  <c r="T62" i="12"/>
  <c r="Z62" i="12" s="1"/>
  <c r="T59" i="12"/>
  <c r="Z59" i="12" s="1"/>
  <c r="T58" i="12"/>
  <c r="Z58" i="12" s="1"/>
  <c r="T57" i="12"/>
  <c r="T56" i="12"/>
  <c r="Z56" i="12" s="1"/>
  <c r="T55" i="12"/>
  <c r="Z55" i="12" s="1"/>
  <c r="O76" i="12"/>
  <c r="N31" i="15" s="1"/>
  <c r="L31" i="15"/>
  <c r="P51" i="12"/>
  <c r="O30" i="15" s="1"/>
  <c r="O51" i="12"/>
  <c r="N30" i="15" s="1"/>
  <c r="N51" i="12"/>
  <c r="M30" i="15" s="1"/>
  <c r="E51" i="12"/>
  <c r="C51" i="12"/>
  <c r="C30" i="15" s="1"/>
  <c r="T50" i="12"/>
  <c r="Z50" i="12" s="1"/>
  <c r="T49" i="12"/>
  <c r="Z49" i="12" s="1"/>
  <c r="T48" i="12"/>
  <c r="Z48" i="12" s="1"/>
  <c r="M51" i="12"/>
  <c r="T47" i="12"/>
  <c r="Z47" i="12" s="1"/>
  <c r="T46" i="12"/>
  <c r="Z46" i="12" s="1"/>
  <c r="T45" i="12"/>
  <c r="Z45" i="12" s="1"/>
  <c r="T44" i="12"/>
  <c r="Z44" i="12" s="1"/>
  <c r="T43" i="12"/>
  <c r="Z43" i="12" s="1"/>
  <c r="S51" i="12"/>
  <c r="R30" i="15" s="1"/>
  <c r="T40" i="12"/>
  <c r="Z40" i="12" s="1"/>
  <c r="I40" i="12"/>
  <c r="T39" i="12"/>
  <c r="Z39" i="12" s="1"/>
  <c r="I39" i="12"/>
  <c r="I37" i="12"/>
  <c r="S34" i="12"/>
  <c r="R24" i="15" s="1"/>
  <c r="R25" i="15" s="1"/>
  <c r="P34" i="12"/>
  <c r="O24" i="15" s="1"/>
  <c r="O25" i="15" s="1"/>
  <c r="O34" i="12"/>
  <c r="N24" i="15" s="1"/>
  <c r="N25" i="15" s="1"/>
  <c r="E34" i="12"/>
  <c r="E24" i="15" s="1"/>
  <c r="E25" i="15" s="1"/>
  <c r="E9" i="16" s="1"/>
  <c r="H34" i="12"/>
  <c r="H24" i="15" s="1"/>
  <c r="H25" i="15" s="1"/>
  <c r="H9" i="16" s="1"/>
  <c r="Z30" i="12"/>
  <c r="C30" i="12"/>
  <c r="Z28" i="12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Z22" i="12"/>
  <c r="H23" i="12"/>
  <c r="H20" i="15" s="1"/>
  <c r="H21" i="15" s="1"/>
  <c r="Z21" i="12"/>
  <c r="Z20" i="12"/>
  <c r="C20" i="12"/>
  <c r="Z19" i="12"/>
  <c r="Z18" i="12"/>
  <c r="N23" i="12"/>
  <c r="M20" i="15" s="1"/>
  <c r="M21" i="15" s="1"/>
  <c r="Z17" i="12"/>
  <c r="L35" i="15"/>
  <c r="S99" i="12"/>
  <c r="R32" i="15" s="1"/>
  <c r="Z26" i="12"/>
  <c r="M23" i="12"/>
  <c r="T60" i="12"/>
  <c r="Z60" i="12" s="1"/>
  <c r="Z27" i="12"/>
  <c r="T54" i="12"/>
  <c r="Z54" i="12" s="1"/>
  <c r="Z33" i="12"/>
  <c r="AF97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1" i="12"/>
  <c r="F104" i="12"/>
  <c r="F82" i="12"/>
  <c r="F74" i="11"/>
  <c r="F42" i="16" s="1"/>
  <c r="F93" i="12"/>
  <c r="F81" i="11"/>
  <c r="F49" i="16"/>
  <c r="F76" i="11"/>
  <c r="F91" i="12"/>
  <c r="F75" i="12"/>
  <c r="F55" i="12"/>
  <c r="F58" i="12"/>
  <c r="F50" i="11"/>
  <c r="F62" i="12"/>
  <c r="F64" i="12"/>
  <c r="F71" i="12"/>
  <c r="F66" i="12"/>
  <c r="F61" i="11"/>
  <c r="F31" i="16" s="1"/>
  <c r="F63" i="11"/>
  <c r="F65" i="11"/>
  <c r="F54" i="12"/>
  <c r="F44" i="12"/>
  <c r="F45" i="12"/>
  <c r="F46" i="12"/>
  <c r="F34" i="12"/>
  <c r="F24" i="15" s="1"/>
  <c r="F25" i="15" s="1"/>
  <c r="F9" i="16" s="1"/>
  <c r="M33" i="10"/>
  <c r="M18" i="10"/>
  <c r="M14" i="10"/>
  <c r="T38" i="12"/>
  <c r="Z38" i="12" s="1"/>
  <c r="AF95" i="12"/>
  <c r="AF92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N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N17" i="7"/>
  <c r="E109" i="12" s="1"/>
  <c r="D21" i="7"/>
  <c r="N11" i="7"/>
  <c r="E56" i="11" s="1"/>
  <c r="E28" i="16" s="1"/>
  <c r="N75" i="6"/>
  <c r="C28" i="16"/>
  <c r="N61" i="6"/>
  <c r="C66" i="11" s="1"/>
  <c r="C70" i="6"/>
  <c r="D70" i="6"/>
  <c r="B70" i="6"/>
  <c r="N60" i="6"/>
  <c r="C82" i="11" s="1"/>
  <c r="N73" i="6"/>
  <c r="N16" i="6"/>
  <c r="N59" i="6"/>
  <c r="N55" i="6"/>
  <c r="N52" i="6"/>
  <c r="D56" i="6"/>
  <c r="C56" i="6"/>
  <c r="B56" i="6"/>
  <c r="D36" i="6"/>
  <c r="B36" i="6"/>
  <c r="N19" i="6"/>
  <c r="D17" i="6"/>
  <c r="D38" i="6" s="1"/>
  <c r="C17" i="6"/>
  <c r="B17" i="6"/>
  <c r="B38" i="6" s="1"/>
  <c r="N14" i="6"/>
  <c r="N13" i="6"/>
  <c r="N10" i="6"/>
  <c r="N9" i="6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19" i="5"/>
  <c r="N28" i="5"/>
  <c r="B5" i="2"/>
  <c r="B6" i="2"/>
  <c r="B7" i="2"/>
  <c r="B8" i="2"/>
  <c r="B9" i="2"/>
  <c r="B14" i="2"/>
  <c r="B15" i="2"/>
  <c r="B16" i="2"/>
  <c r="B17" i="2"/>
  <c r="B18" i="2"/>
  <c r="N18" i="2" s="1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5" i="2"/>
  <c r="B56" i="2"/>
  <c r="B86" i="2" s="1"/>
  <c r="B57" i="2"/>
  <c r="B58" i="2"/>
  <c r="B61" i="2"/>
  <c r="B90" i="2" s="1"/>
  <c r="B62" i="2"/>
  <c r="B63" i="2"/>
  <c r="B64" i="2"/>
  <c r="B65" i="2"/>
  <c r="B66" i="2"/>
  <c r="B68" i="2"/>
  <c r="B94" i="2" s="1"/>
  <c r="B76" i="2"/>
  <c r="B91" i="2"/>
  <c r="B92" i="2"/>
  <c r="B93" i="2"/>
  <c r="B129" i="2"/>
  <c r="B200" i="2" s="1"/>
  <c r="B74" i="2"/>
  <c r="B75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8" i="2"/>
  <c r="C55" i="2"/>
  <c r="C56" i="2"/>
  <c r="C86" i="2" s="1"/>
  <c r="C57" i="2"/>
  <c r="C58" i="2"/>
  <c r="C61" i="2"/>
  <c r="C62" i="2"/>
  <c r="C63" i="2"/>
  <c r="C64" i="2"/>
  <c r="C65" i="2"/>
  <c r="C66" i="2"/>
  <c r="C68" i="2"/>
  <c r="C94" i="2" s="1"/>
  <c r="C76" i="2"/>
  <c r="C91" i="2"/>
  <c r="C92" i="2"/>
  <c r="C93" i="2"/>
  <c r="C129" i="2"/>
  <c r="C73" i="2"/>
  <c r="C75" i="2"/>
  <c r="P288" i="2"/>
  <c r="Q288" i="2" s="1"/>
  <c r="P286" i="2"/>
  <c r="Q286" i="2" s="1"/>
  <c r="J75" i="2"/>
  <c r="G75" i="2"/>
  <c r="F75" i="2"/>
  <c r="D75" i="2"/>
  <c r="P279" i="2"/>
  <c r="Q279" i="2" s="1"/>
  <c r="P278" i="2"/>
  <c r="Q278" i="2" s="1"/>
  <c r="B108" i="12"/>
  <c r="B99" i="11" s="1"/>
  <c r="P272" i="2"/>
  <c r="Q272" i="2" s="1"/>
  <c r="P271" i="2"/>
  <c r="Q271" i="2" s="1"/>
  <c r="G74" i="2"/>
  <c r="P258" i="2"/>
  <c r="Q258" i="2" s="1"/>
  <c r="B96" i="12"/>
  <c r="P254" i="2"/>
  <c r="Q254" i="2" s="1"/>
  <c r="P253" i="2"/>
  <c r="Q253" i="2" s="1"/>
  <c r="I70" i="12"/>
  <c r="E251" i="2"/>
  <c r="N251" i="2" s="1"/>
  <c r="B94" i="12"/>
  <c r="B85" i="11" s="1"/>
  <c r="P248" i="2"/>
  <c r="Q248" i="2" s="1"/>
  <c r="P247" i="2"/>
  <c r="Q247" i="2" s="1"/>
  <c r="P246" i="2"/>
  <c r="Q246" i="2" s="1"/>
  <c r="B84" i="12"/>
  <c r="B75" i="11" s="1"/>
  <c r="P244" i="2"/>
  <c r="Q244" i="2" s="1"/>
  <c r="P243" i="2"/>
  <c r="Q243" i="2" s="1"/>
  <c r="B79" i="12"/>
  <c r="B70" i="11" s="1"/>
  <c r="N240" i="2"/>
  <c r="N270" i="2" s="1"/>
  <c r="P239" i="2"/>
  <c r="Q239" i="2" s="1"/>
  <c r="J73" i="2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N216" i="2"/>
  <c r="P215" i="2"/>
  <c r="Q215" i="2" s="1"/>
  <c r="J72" i="2"/>
  <c r="G72" i="2"/>
  <c r="E72" i="2"/>
  <c r="P211" i="2"/>
  <c r="Q211" i="2" s="1"/>
  <c r="P210" i="2"/>
  <c r="Q210" i="2" s="1"/>
  <c r="P209" i="2"/>
  <c r="Q209" i="2" s="1"/>
  <c r="P203" i="2"/>
  <c r="Q203" i="2" s="1"/>
  <c r="N202" i="2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N181" i="2"/>
  <c r="P181" i="2" s="1"/>
  <c r="Q181" i="2" s="1"/>
  <c r="N180" i="2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N174" i="2" s="1"/>
  <c r="B29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N131" i="2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F94" i="2"/>
  <c r="L93" i="2"/>
  <c r="K93" i="2"/>
  <c r="J93" i="2"/>
  <c r="G93" i="2"/>
  <c r="F93" i="2"/>
  <c r="E93" i="2"/>
  <c r="D93" i="2"/>
  <c r="L92" i="2"/>
  <c r="K92" i="2"/>
  <c r="J92" i="2"/>
  <c r="G92" i="2"/>
  <c r="F92" i="2"/>
  <c r="E92" i="2"/>
  <c r="D92" i="2"/>
  <c r="G91" i="2"/>
  <c r="F91" i="2"/>
  <c r="E91" i="2"/>
  <c r="D91" i="2"/>
  <c r="F90" i="2"/>
  <c r="P89" i="2"/>
  <c r="Q89" i="2" s="1"/>
  <c r="P88" i="2"/>
  <c r="Q88" i="2" s="1"/>
  <c r="F86" i="2"/>
  <c r="F85" i="2"/>
  <c r="P84" i="2"/>
  <c r="Q84" i="2" s="1"/>
  <c r="P83" i="2"/>
  <c r="Q83" i="2" s="1"/>
  <c r="P82" i="2"/>
  <c r="Q82" i="2" s="1"/>
  <c r="P80" i="2"/>
  <c r="Q80" i="2" s="1"/>
  <c r="P79" i="2"/>
  <c r="Q79" i="2" s="1"/>
  <c r="J76" i="2"/>
  <c r="G76" i="2"/>
  <c r="F76" i="2"/>
  <c r="E76" i="2"/>
  <c r="D76" i="2"/>
  <c r="E75" i="2"/>
  <c r="G73" i="2"/>
  <c r="P71" i="2"/>
  <c r="Q71" i="2" s="1"/>
  <c r="L94" i="2"/>
  <c r="J68" i="2"/>
  <c r="F68" i="2"/>
  <c r="E68" i="2"/>
  <c r="E94" i="2" s="1"/>
  <c r="D68" i="2"/>
  <c r="D94" i="2" s="1"/>
  <c r="P67" i="2"/>
  <c r="Q67" i="2" s="1"/>
  <c r="J66" i="2"/>
  <c r="F66" i="2"/>
  <c r="E66" i="2"/>
  <c r="D66" i="2"/>
  <c r="J65" i="2"/>
  <c r="F65" i="2"/>
  <c r="D65" i="2"/>
  <c r="J64" i="2"/>
  <c r="F64" i="2"/>
  <c r="E64" i="2"/>
  <c r="D64" i="2"/>
  <c r="J63" i="2"/>
  <c r="E63" i="2"/>
  <c r="L91" i="2"/>
  <c r="J91" i="2"/>
  <c r="F62" i="2"/>
  <c r="E62" i="2"/>
  <c r="D62" i="2"/>
  <c r="N62" i="2" s="1"/>
  <c r="L90" i="2"/>
  <c r="J61" i="2"/>
  <c r="J90" i="2" s="1"/>
  <c r="F61" i="2"/>
  <c r="E61" i="2"/>
  <c r="E90" i="2" s="1"/>
  <c r="D61" i="2"/>
  <c r="D90" i="2" s="1"/>
  <c r="P60" i="2"/>
  <c r="Q60" i="2" s="1"/>
  <c r="J58" i="2"/>
  <c r="F58" i="2"/>
  <c r="E58" i="2"/>
  <c r="D58" i="2"/>
  <c r="J57" i="2"/>
  <c r="F57" i="2"/>
  <c r="E57" i="2"/>
  <c r="D57" i="2"/>
  <c r="L86" i="2"/>
  <c r="J56" i="2"/>
  <c r="I87" i="2"/>
  <c r="F56" i="2"/>
  <c r="E56" i="2"/>
  <c r="E86" i="2" s="1"/>
  <c r="D56" i="2"/>
  <c r="D86" i="2" s="1"/>
  <c r="L85" i="2"/>
  <c r="K85" i="2"/>
  <c r="J55" i="2"/>
  <c r="F55" i="2"/>
  <c r="E55" i="2"/>
  <c r="D55" i="2"/>
  <c r="D85" i="2" s="1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E43" i="2"/>
  <c r="D43" i="2"/>
  <c r="E40" i="2"/>
  <c r="D40" i="2"/>
  <c r="E39" i="2"/>
  <c r="D39" i="2"/>
  <c r="E38" i="2"/>
  <c r="D38" i="2"/>
  <c r="P37" i="2"/>
  <c r="Q37" i="2" s="1"/>
  <c r="G33" i="2"/>
  <c r="F33" i="2"/>
  <c r="E33" i="2"/>
  <c r="D33" i="2"/>
  <c r="G32" i="2"/>
  <c r="F32" i="2"/>
  <c r="E32" i="2"/>
  <c r="D32" i="2"/>
  <c r="P31" i="2"/>
  <c r="Q31" i="2" s="1"/>
  <c r="F30" i="2"/>
  <c r="G29" i="2"/>
  <c r="F29" i="2"/>
  <c r="E29" i="2"/>
  <c r="D29" i="2"/>
  <c r="G28" i="2"/>
  <c r="F28" i="2"/>
  <c r="E28" i="2"/>
  <c r="D28" i="2"/>
  <c r="G27" i="2"/>
  <c r="F27" i="2"/>
  <c r="E27" i="2"/>
  <c r="D27" i="2"/>
  <c r="P26" i="2"/>
  <c r="Q26" i="2" s="1"/>
  <c r="G25" i="2"/>
  <c r="F25" i="2"/>
  <c r="E25" i="2"/>
  <c r="D25" i="2"/>
  <c r="N25" i="2" s="1"/>
  <c r="G24" i="2"/>
  <c r="F24" i="2"/>
  <c r="E24" i="2"/>
  <c r="D24" i="2"/>
  <c r="G23" i="2"/>
  <c r="F23" i="2"/>
  <c r="E23" i="2"/>
  <c r="D23" i="2"/>
  <c r="G22" i="2"/>
  <c r="F22" i="2"/>
  <c r="E22" i="2"/>
  <c r="D22" i="2"/>
  <c r="P21" i="2"/>
  <c r="Q21" i="2" s="1"/>
  <c r="F20" i="2"/>
  <c r="E20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P13" i="2"/>
  <c r="Q13" i="2" s="1"/>
  <c r="P12" i="2"/>
  <c r="Q12" i="2" s="1"/>
  <c r="G10" i="2"/>
  <c r="F10" i="2"/>
  <c r="E10" i="2"/>
  <c r="G9" i="2"/>
  <c r="F9" i="2"/>
  <c r="E9" i="2"/>
  <c r="D9" i="2"/>
  <c r="F8" i="2"/>
  <c r="E8" i="2"/>
  <c r="D8" i="2"/>
  <c r="G7" i="2"/>
  <c r="F7" i="2"/>
  <c r="E7" i="2"/>
  <c r="D7" i="2"/>
  <c r="G6" i="2"/>
  <c r="F6" i="2"/>
  <c r="E6" i="2"/>
  <c r="D6" i="2"/>
  <c r="G5" i="2"/>
  <c r="E5" i="2"/>
  <c r="D5" i="2"/>
  <c r="E270" i="2"/>
  <c r="E74" i="2" s="1"/>
  <c r="K200" i="2"/>
  <c r="P273" i="2"/>
  <c r="Q273" i="2" s="1"/>
  <c r="B104" i="12"/>
  <c r="B95" i="11" s="1"/>
  <c r="B57" i="16" s="1"/>
  <c r="B25" i="5"/>
  <c r="I59" i="2"/>
  <c r="I95" i="2"/>
  <c r="I38" i="12"/>
  <c r="B54" i="5" l="1"/>
  <c r="N39" i="5"/>
  <c r="N54" i="5" s="1"/>
  <c r="N36" i="5"/>
  <c r="D55" i="11"/>
  <c r="D27" i="16" s="1"/>
  <c r="L30" i="15"/>
  <c r="M101" i="12"/>
  <c r="B54" i="12"/>
  <c r="B45" i="11" s="1"/>
  <c r="B22" i="16" s="1"/>
  <c r="N238" i="2"/>
  <c r="P174" i="2"/>
  <c r="Q174" i="2" s="1"/>
  <c r="N23" i="2"/>
  <c r="P23" i="2" s="1"/>
  <c r="Q23" i="2" s="1"/>
  <c r="B21" i="11"/>
  <c r="P180" i="2"/>
  <c r="Q180" i="2" s="1"/>
  <c r="I32" i="12"/>
  <c r="M24" i="15"/>
  <c r="M25" i="15" s="1"/>
  <c r="N36" i="12"/>
  <c r="D25" i="5"/>
  <c r="N38" i="2"/>
  <c r="P38" i="2" s="1"/>
  <c r="Q38" i="2" s="1"/>
  <c r="P270" i="2"/>
  <c r="Q270" i="2" s="1"/>
  <c r="N30" i="2"/>
  <c r="N72" i="2"/>
  <c r="N5" i="2"/>
  <c r="N10" i="2"/>
  <c r="N8" i="2"/>
  <c r="P8" i="2" s="1"/>
  <c r="Q8" i="2" s="1"/>
  <c r="N6" i="2"/>
  <c r="P6" i="2" s="1"/>
  <c r="Q6" i="2" s="1"/>
  <c r="F102" i="11"/>
  <c r="F58" i="16" s="1"/>
  <c r="E67" i="11"/>
  <c r="N20" i="2"/>
  <c r="N28" i="2"/>
  <c r="P28" i="2" s="1"/>
  <c r="Q28" i="2" s="1"/>
  <c r="N57" i="2"/>
  <c r="P57" i="2" s="1"/>
  <c r="Q57" i="2" s="1"/>
  <c r="N75" i="2"/>
  <c r="P75" i="2" s="1"/>
  <c r="Q75" i="2" s="1"/>
  <c r="N17" i="2"/>
  <c r="P17" i="2" s="1"/>
  <c r="Q17" i="2" s="1"/>
  <c r="N66" i="2"/>
  <c r="P66" i="2" s="1"/>
  <c r="Q66" i="2" s="1"/>
  <c r="N7" i="2"/>
  <c r="N9" i="2"/>
  <c r="P9" i="2" s="1"/>
  <c r="Q9" i="2" s="1"/>
  <c r="N24" i="2"/>
  <c r="P24" i="2" s="1"/>
  <c r="Q24" i="2" s="1"/>
  <c r="N64" i="2"/>
  <c r="P64" i="2" s="1"/>
  <c r="Q64" i="2" s="1"/>
  <c r="N76" i="2"/>
  <c r="P76" i="2" s="1"/>
  <c r="Q76" i="2" s="1"/>
  <c r="N74" i="2"/>
  <c r="P74" i="2" s="1"/>
  <c r="Q74" i="2" s="1"/>
  <c r="C78" i="6"/>
  <c r="N15" i="2"/>
  <c r="P15" i="2" s="1"/>
  <c r="Q15" i="2" s="1"/>
  <c r="F65" i="12"/>
  <c r="I65" i="12" s="1"/>
  <c r="N16" i="2"/>
  <c r="P16" i="2" s="1"/>
  <c r="Q16" i="2" s="1"/>
  <c r="N29" i="2"/>
  <c r="P29" i="2" s="1"/>
  <c r="Q29" i="2" s="1"/>
  <c r="N33" i="2"/>
  <c r="P33" i="2" s="1"/>
  <c r="Q33" i="2" s="1"/>
  <c r="N58" i="2"/>
  <c r="P58" i="2" s="1"/>
  <c r="Q58" i="2" s="1"/>
  <c r="N73" i="2"/>
  <c r="D78" i="6"/>
  <c r="D80" i="6" s="1"/>
  <c r="E27" i="11"/>
  <c r="E38" i="6"/>
  <c r="D71" i="12"/>
  <c r="I32" i="16"/>
  <c r="E19" i="16"/>
  <c r="N56" i="2"/>
  <c r="P56" i="2" s="1"/>
  <c r="Q56" i="2" s="1"/>
  <c r="F87" i="2"/>
  <c r="N93" i="2"/>
  <c r="P93" i="2" s="1"/>
  <c r="Q93" i="2" s="1"/>
  <c r="D199" i="2"/>
  <c r="N145" i="2"/>
  <c r="B19" i="17"/>
  <c r="B29" i="17" s="1"/>
  <c r="C19" i="17"/>
  <c r="N92" i="2"/>
  <c r="P92" i="2" s="1"/>
  <c r="Q92" i="2" s="1"/>
  <c r="N48" i="2"/>
  <c r="P48" i="2" s="1"/>
  <c r="Q48" i="2" s="1"/>
  <c r="N39" i="2"/>
  <c r="P39" i="2" s="1"/>
  <c r="Q39" i="2" s="1"/>
  <c r="B78" i="6"/>
  <c r="B80" i="6" s="1"/>
  <c r="E18" i="14"/>
  <c r="E19" i="17"/>
  <c r="E29" i="17" s="1"/>
  <c r="F18" i="14"/>
  <c r="F29" i="14" s="1"/>
  <c r="B85" i="2"/>
  <c r="B87" i="2" s="1"/>
  <c r="N55" i="2"/>
  <c r="E78" i="6"/>
  <c r="E65" i="2"/>
  <c r="N65" i="2" s="1"/>
  <c r="P65" i="2" s="1"/>
  <c r="Q65" i="2" s="1"/>
  <c r="N189" i="2"/>
  <c r="N43" i="2"/>
  <c r="P43" i="2" s="1"/>
  <c r="Q43" i="2" s="1"/>
  <c r="B57" i="10"/>
  <c r="B73" i="10" s="1"/>
  <c r="B83" i="10" s="1"/>
  <c r="B86" i="10" s="1"/>
  <c r="H71" i="12"/>
  <c r="D19" i="17"/>
  <c r="H101" i="11"/>
  <c r="H60" i="16" s="1"/>
  <c r="H110" i="12"/>
  <c r="F78" i="6"/>
  <c r="F20" i="10"/>
  <c r="G78" i="6"/>
  <c r="K90" i="2"/>
  <c r="N61" i="2"/>
  <c r="K94" i="2"/>
  <c r="N68" i="2"/>
  <c r="P68" i="2" s="1"/>
  <c r="Q68" i="2" s="1"/>
  <c r="D59" i="12"/>
  <c r="I59" i="12" s="1"/>
  <c r="AD59" i="12" s="1"/>
  <c r="AF59" i="12" s="1"/>
  <c r="B73" i="5"/>
  <c r="B80" i="5" s="1"/>
  <c r="B83" i="5" s="1"/>
  <c r="G76" i="11"/>
  <c r="G90" i="11" s="1"/>
  <c r="G85" i="12"/>
  <c r="G99" i="12" s="1"/>
  <c r="G32" i="15" s="1"/>
  <c r="C29" i="17"/>
  <c r="N17" i="17"/>
  <c r="N40" i="2"/>
  <c r="P40" i="2" s="1"/>
  <c r="Q40" i="2" s="1"/>
  <c r="H95" i="11"/>
  <c r="H57" i="16"/>
  <c r="H104" i="12"/>
  <c r="G95" i="11"/>
  <c r="G57" i="16" s="1"/>
  <c r="G104" i="12"/>
  <c r="N27" i="14"/>
  <c r="N70" i="6"/>
  <c r="C54" i="12"/>
  <c r="C45" i="11"/>
  <c r="C22" i="16" s="1"/>
  <c r="N56" i="6"/>
  <c r="N76" i="6"/>
  <c r="D69" i="12"/>
  <c r="D84" i="11"/>
  <c r="D48" i="16" s="1"/>
  <c r="D64" i="12"/>
  <c r="C25" i="5"/>
  <c r="C19" i="16"/>
  <c r="G29" i="14"/>
  <c r="E29" i="14"/>
  <c r="C29" i="14"/>
  <c r="C97" i="11"/>
  <c r="I97" i="11" s="1"/>
  <c r="C69" i="12"/>
  <c r="C98" i="11"/>
  <c r="C86" i="12"/>
  <c r="C46" i="16"/>
  <c r="C75" i="12"/>
  <c r="C85" i="12"/>
  <c r="C73" i="11"/>
  <c r="C41" i="16" s="1"/>
  <c r="C18" i="12"/>
  <c r="C10" i="11" s="1"/>
  <c r="C29" i="12"/>
  <c r="C17" i="12"/>
  <c r="C9" i="11" s="1"/>
  <c r="I9" i="11" s="1"/>
  <c r="D67" i="12"/>
  <c r="I67" i="12" s="1"/>
  <c r="AB67" i="12" s="1"/>
  <c r="D58" i="12"/>
  <c r="I58" i="12" s="1"/>
  <c r="AD58" i="12" s="1"/>
  <c r="AF58" i="12" s="1"/>
  <c r="D82" i="12"/>
  <c r="D78" i="11"/>
  <c r="F71" i="5"/>
  <c r="D65" i="11"/>
  <c r="I65" i="11" s="1"/>
  <c r="D73" i="12"/>
  <c r="D53" i="11"/>
  <c r="D25" i="16" s="1"/>
  <c r="D95" i="11"/>
  <c r="D73" i="5"/>
  <c r="D63" i="11"/>
  <c r="D66" i="12"/>
  <c r="I66" i="12" s="1"/>
  <c r="D60" i="12"/>
  <c r="D91" i="12"/>
  <c r="D81" i="11"/>
  <c r="D45" i="16" s="1"/>
  <c r="D109" i="12"/>
  <c r="D66" i="11"/>
  <c r="D54" i="11"/>
  <c r="D26" i="16" s="1"/>
  <c r="D86" i="12"/>
  <c r="D37" i="11"/>
  <c r="D47" i="12"/>
  <c r="D45" i="12"/>
  <c r="D44" i="12"/>
  <c r="D41" i="12"/>
  <c r="B88" i="12"/>
  <c r="B79" i="11" s="1"/>
  <c r="I79" i="11" s="1"/>
  <c r="B87" i="12"/>
  <c r="B78" i="11" s="1"/>
  <c r="P256" i="2"/>
  <c r="Q256" i="2" s="1"/>
  <c r="P255" i="2"/>
  <c r="Q255" i="2" s="1"/>
  <c r="P251" i="2"/>
  <c r="Q251" i="2" s="1"/>
  <c r="B72" i="12"/>
  <c r="P241" i="2"/>
  <c r="Q241" i="2" s="1"/>
  <c r="P226" i="2"/>
  <c r="Q226" i="2" s="1"/>
  <c r="B64" i="12"/>
  <c r="P208" i="2"/>
  <c r="Q208" i="2" s="1"/>
  <c r="B45" i="12"/>
  <c r="B36" i="11" s="1"/>
  <c r="B44" i="12"/>
  <c r="B35" i="11" s="1"/>
  <c r="B17" i="16" s="1"/>
  <c r="Q27" i="15"/>
  <c r="G36" i="12"/>
  <c r="I112" i="12"/>
  <c r="X112" i="12" s="1"/>
  <c r="B103" i="11"/>
  <c r="I103" i="11" s="1"/>
  <c r="I108" i="12"/>
  <c r="AB108" i="12" s="1"/>
  <c r="I115" i="12"/>
  <c r="B106" i="11"/>
  <c r="I106" i="11" s="1"/>
  <c r="C8" i="11"/>
  <c r="I96" i="12"/>
  <c r="AB96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09" i="12"/>
  <c r="B100" i="11" s="1"/>
  <c r="B59" i="16" s="1"/>
  <c r="P238" i="2"/>
  <c r="Q238" i="2" s="1"/>
  <c r="B105" i="12"/>
  <c r="E200" i="2"/>
  <c r="E287" i="2" s="1"/>
  <c r="P189" i="2"/>
  <c r="Q189" i="2" s="1"/>
  <c r="P259" i="2"/>
  <c r="Q259" i="2" s="1"/>
  <c r="B90" i="12"/>
  <c r="B81" i="11" s="1"/>
  <c r="B45" i="16" s="1"/>
  <c r="C22" i="12"/>
  <c r="C14" i="11" s="1"/>
  <c r="S36" i="12"/>
  <c r="M18" i="14"/>
  <c r="M29" i="14" s="1"/>
  <c r="G71" i="12"/>
  <c r="G76" i="12" s="1"/>
  <c r="N12" i="14"/>
  <c r="N18" i="14" s="1"/>
  <c r="F61" i="12"/>
  <c r="E73" i="11"/>
  <c r="E41" i="16" s="1"/>
  <c r="E77" i="11"/>
  <c r="E87" i="12"/>
  <c r="E78" i="11"/>
  <c r="E85" i="12"/>
  <c r="C82" i="12"/>
  <c r="D72" i="12"/>
  <c r="D73" i="11"/>
  <c r="D41" i="16" s="1"/>
  <c r="D63" i="12"/>
  <c r="I63" i="12" s="1"/>
  <c r="AB63" i="12" s="1"/>
  <c r="D38" i="11"/>
  <c r="C91" i="12"/>
  <c r="N17" i="6"/>
  <c r="C19" i="12"/>
  <c r="C11" i="11" s="1"/>
  <c r="M21" i="7"/>
  <c r="H73" i="11"/>
  <c r="H41" i="16" s="1"/>
  <c r="H52" i="16" s="1"/>
  <c r="D77" i="2"/>
  <c r="P245" i="2"/>
  <c r="Q245" i="2" s="1"/>
  <c r="D49" i="2"/>
  <c r="B80" i="12"/>
  <c r="B110" i="12"/>
  <c r="B101" i="11" s="1"/>
  <c r="B60" i="16" s="1"/>
  <c r="B50" i="12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5" i="12"/>
  <c r="D46" i="11"/>
  <c r="D23" i="16" s="1"/>
  <c r="B59" i="2"/>
  <c r="K287" i="2"/>
  <c r="D63" i="2"/>
  <c r="D95" i="2"/>
  <c r="F74" i="12"/>
  <c r="P101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T25" i="12"/>
  <c r="Z25" i="12" s="1"/>
  <c r="N27" i="15"/>
  <c r="O36" i="12"/>
  <c r="I99" i="11"/>
  <c r="B91" i="12"/>
  <c r="B82" i="11" s="1"/>
  <c r="B46" i="16" s="1"/>
  <c r="B95" i="12"/>
  <c r="P257" i="2"/>
  <c r="Q257" i="2" s="1"/>
  <c r="P249" i="2"/>
  <c r="Q249" i="2" s="1"/>
  <c r="B98" i="12"/>
  <c r="P240" i="2"/>
  <c r="Q240" i="2" s="1"/>
  <c r="I68" i="12"/>
  <c r="AB68" i="12" s="1"/>
  <c r="C77" i="2"/>
  <c r="B43" i="12"/>
  <c r="P277" i="2"/>
  <c r="Q277" i="2" s="1"/>
  <c r="M69" i="2"/>
  <c r="B77" i="2"/>
  <c r="I96" i="2"/>
  <c r="J69" i="2"/>
  <c r="B47" i="12"/>
  <c r="B38" i="11" s="1"/>
  <c r="N32" i="2"/>
  <c r="P32" i="2" s="1"/>
  <c r="Q32" i="2" s="1"/>
  <c r="J94" i="2"/>
  <c r="J95" i="2" s="1"/>
  <c r="L200" i="2"/>
  <c r="L287" i="2" s="1"/>
  <c r="D200" i="2"/>
  <c r="D287" i="2" s="1"/>
  <c r="M19" i="17"/>
  <c r="M29" i="17" s="1"/>
  <c r="N27" i="17"/>
  <c r="G101" i="11"/>
  <c r="G60" i="16" s="1"/>
  <c r="G61" i="11"/>
  <c r="G31" i="16" s="1"/>
  <c r="G36" i="16" s="1"/>
  <c r="F73" i="11"/>
  <c r="F41" i="16" s="1"/>
  <c r="F69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0" i="12"/>
  <c r="E118" i="12" s="1"/>
  <c r="E35" i="15" s="1"/>
  <c r="N19" i="7"/>
  <c r="E100" i="11"/>
  <c r="C106" i="12"/>
  <c r="C35" i="16"/>
  <c r="C27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3" i="12"/>
  <c r="X93" i="12" s="1"/>
  <c r="E25" i="5"/>
  <c r="T34" i="12"/>
  <c r="R33" i="15"/>
  <c r="M33" i="15"/>
  <c r="N101" i="12"/>
  <c r="S101" i="12"/>
  <c r="N33" i="15"/>
  <c r="O101" i="12"/>
  <c r="T99" i="12"/>
  <c r="Z99" i="12" s="1"/>
  <c r="S32" i="15"/>
  <c r="Y32" i="15" s="1"/>
  <c r="AB70" i="12"/>
  <c r="T51" i="12"/>
  <c r="L24" i="15"/>
  <c r="L25" i="15" s="1"/>
  <c r="M36" i="12"/>
  <c r="T37" i="12" s="1"/>
  <c r="Z37" i="12" s="1"/>
  <c r="F11" i="2"/>
  <c r="I23" i="11"/>
  <c r="B287" i="2"/>
  <c r="B113" i="12"/>
  <c r="B104" i="11" s="1"/>
  <c r="I104" i="11" s="1"/>
  <c r="H19" i="16"/>
  <c r="E36" i="16"/>
  <c r="O33" i="15"/>
  <c r="M27" i="15"/>
  <c r="R27" i="15"/>
  <c r="P230" i="2"/>
  <c r="Q230" i="2" s="1"/>
  <c r="B92" i="12"/>
  <c r="P204" i="2"/>
  <c r="Q204" i="2" s="1"/>
  <c r="P274" i="2"/>
  <c r="Q274" i="2" s="1"/>
  <c r="P250" i="2"/>
  <c r="Q250" i="2" s="1"/>
  <c r="D87" i="2"/>
  <c r="B114" i="12"/>
  <c r="B97" i="12"/>
  <c r="B111" i="12"/>
  <c r="P220" i="2"/>
  <c r="Q220" i="2" s="1"/>
  <c r="P207" i="2"/>
  <c r="Q207" i="2" s="1"/>
  <c r="G87" i="2"/>
  <c r="I60" i="11"/>
  <c r="I22" i="11"/>
  <c r="C34" i="2"/>
  <c r="N14" i="2"/>
  <c r="B46" i="12"/>
  <c r="B37" i="11" s="1"/>
  <c r="L87" i="2"/>
  <c r="P30" i="2"/>
  <c r="Q30" i="2" s="1"/>
  <c r="P119" i="2"/>
  <c r="Q119" i="2" s="1"/>
  <c r="G49" i="2"/>
  <c r="D57" i="16"/>
  <c r="D104" i="12"/>
  <c r="D70" i="11"/>
  <c r="D39" i="16" s="1"/>
  <c r="D79" i="12"/>
  <c r="D74" i="12"/>
  <c r="D62" i="12"/>
  <c r="D35" i="11"/>
  <c r="D17" i="16" s="1"/>
  <c r="D32" i="11"/>
  <c r="D16" i="16" s="1"/>
  <c r="M25" i="5"/>
  <c r="C73" i="5"/>
  <c r="D49" i="11"/>
  <c r="D77" i="11"/>
  <c r="D59" i="11"/>
  <c r="D30" i="16" s="1"/>
  <c r="D75" i="12"/>
  <c r="D76" i="11"/>
  <c r="D64" i="11"/>
  <c r="D34" i="16" s="1"/>
  <c r="C19" i="11"/>
  <c r="C21" i="11"/>
  <c r="B82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X70" i="12"/>
  <c r="AD70" i="12"/>
  <c r="AF70" i="12" s="1"/>
  <c r="L11" i="2"/>
  <c r="K91" i="2"/>
  <c r="K69" i="2"/>
  <c r="P109" i="2"/>
  <c r="Q109" i="2" s="1"/>
  <c r="P141" i="2"/>
  <c r="Q141" i="2" s="1"/>
  <c r="C49" i="2"/>
  <c r="J59" i="2"/>
  <c r="J85" i="2"/>
  <c r="K86" i="2"/>
  <c r="K59" i="2"/>
  <c r="M87" i="2"/>
  <c r="L69" i="2"/>
  <c r="L59" i="2"/>
  <c r="K11" i="2"/>
  <c r="D34" i="2"/>
  <c r="N27" i="2"/>
  <c r="P27" i="2" s="1"/>
  <c r="Q27" i="2" s="1"/>
  <c r="N22" i="2"/>
  <c r="P22" i="2" s="1"/>
  <c r="Q22" i="2" s="1"/>
  <c r="M95" i="2"/>
  <c r="M11" i="2"/>
  <c r="J11" i="2"/>
  <c r="F34" i="2"/>
  <c r="L34" i="2"/>
  <c r="P25" i="2"/>
  <c r="Q25" i="2" s="1"/>
  <c r="G95" i="2"/>
  <c r="I200" i="2"/>
  <c r="I287" i="2" s="1"/>
  <c r="F83" i="12"/>
  <c r="I83" i="12" s="1"/>
  <c r="AB83" i="12" s="1"/>
  <c r="F55" i="11"/>
  <c r="F37" i="11"/>
  <c r="F36" i="11"/>
  <c r="F57" i="16"/>
  <c r="F45" i="16"/>
  <c r="F90" i="12"/>
  <c r="F52" i="11"/>
  <c r="I52" i="11" s="1"/>
  <c r="F41" i="12"/>
  <c r="F84" i="11"/>
  <c r="F32" i="11"/>
  <c r="F94" i="12"/>
  <c r="I94" i="12" s="1"/>
  <c r="F49" i="11"/>
  <c r="F24" i="11"/>
  <c r="F25" i="11" s="1"/>
  <c r="F101" i="11"/>
  <c r="F14" i="11"/>
  <c r="F15" i="11" s="1"/>
  <c r="F66" i="11"/>
  <c r="P202" i="2"/>
  <c r="Q202" i="2" s="1"/>
  <c r="B41" i="12"/>
  <c r="B32" i="11" s="1"/>
  <c r="B16" i="16" s="1"/>
  <c r="I50" i="11"/>
  <c r="F84" i="12"/>
  <c r="I84" i="12" s="1"/>
  <c r="F75" i="11"/>
  <c r="F43" i="16" s="1"/>
  <c r="E69" i="2"/>
  <c r="F39" i="11"/>
  <c r="F48" i="12"/>
  <c r="F56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I70" i="2" s="1"/>
  <c r="P118" i="2"/>
  <c r="Q118" i="2" s="1"/>
  <c r="P140" i="2"/>
  <c r="Q140" i="2" s="1"/>
  <c r="E85" i="2"/>
  <c r="E87" i="2" s="1"/>
  <c r="E59" i="2"/>
  <c r="P114" i="2"/>
  <c r="Q114" i="2" s="1"/>
  <c r="I12" i="11"/>
  <c r="I20" i="12"/>
  <c r="I13" i="11"/>
  <c r="I21" i="12"/>
  <c r="P170" i="2"/>
  <c r="Q170" i="2" s="1"/>
  <c r="P242" i="2"/>
  <c r="Q242" i="2" s="1"/>
  <c r="C90" i="2"/>
  <c r="C85" i="2"/>
  <c r="C59" i="2"/>
  <c r="D11" i="2"/>
  <c r="E49" i="2"/>
  <c r="J86" i="2"/>
  <c r="P212" i="2"/>
  <c r="Q212" i="2" s="1"/>
  <c r="B49" i="12"/>
  <c r="J77" i="2"/>
  <c r="P218" i="2"/>
  <c r="Q218" i="2" s="1"/>
  <c r="D57" i="10"/>
  <c r="D73" i="10" s="1"/>
  <c r="C109" i="12"/>
  <c r="C100" i="11"/>
  <c r="E71" i="12"/>
  <c r="E76" i="12" s="1"/>
  <c r="E31" i="15" s="1"/>
  <c r="E7" i="16"/>
  <c r="E11" i="16" s="1"/>
  <c r="E27" i="15"/>
  <c r="Z31" i="12"/>
  <c r="E30" i="15"/>
  <c r="I74" i="11"/>
  <c r="F56" i="11"/>
  <c r="F38" i="11"/>
  <c r="F47" i="12"/>
  <c r="M73" i="10"/>
  <c r="Z64" i="12"/>
  <c r="Z85" i="12"/>
  <c r="P20" i="15"/>
  <c r="P21" i="15" s="1"/>
  <c r="P27" i="15" s="1"/>
  <c r="Q36" i="12"/>
  <c r="F57" i="12"/>
  <c r="I57" i="12" s="1"/>
  <c r="F48" i="11"/>
  <c r="F79" i="12"/>
  <c r="F70" i="11"/>
  <c r="F86" i="12"/>
  <c r="F77" i="11"/>
  <c r="F44" i="16" s="1"/>
  <c r="L33" i="15"/>
  <c r="Z57" i="12"/>
  <c r="B107" i="12"/>
  <c r="B98" i="11" s="1"/>
  <c r="F36" i="6"/>
  <c r="F38" i="6" s="1"/>
  <c r="N31" i="6"/>
  <c r="C18" i="11" s="1"/>
  <c r="F110" i="12"/>
  <c r="H7" i="16"/>
  <c r="H11" i="16" s="1"/>
  <c r="H27" i="15"/>
  <c r="O20" i="15"/>
  <c r="O21" i="15" s="1"/>
  <c r="O27" i="15" s="1"/>
  <c r="P36" i="12"/>
  <c r="T23" i="12"/>
  <c r="Z73" i="12"/>
  <c r="O35" i="15"/>
  <c r="D80" i="11"/>
  <c r="D89" i="12"/>
  <c r="H61" i="11"/>
  <c r="H67" i="11" s="1"/>
  <c r="H69" i="12"/>
  <c r="N12" i="17"/>
  <c r="F46" i="11"/>
  <c r="F85" i="12"/>
  <c r="F95" i="11"/>
  <c r="H36" i="12"/>
  <c r="E36" i="12"/>
  <c r="C20" i="11"/>
  <c r="C28" i="12"/>
  <c r="R36" i="12"/>
  <c r="H28" i="16"/>
  <c r="N17" i="5"/>
  <c r="M36" i="5"/>
  <c r="M73" i="5" s="1"/>
  <c r="N35" i="5"/>
  <c r="D41" i="11" s="1"/>
  <c r="E73" i="5"/>
  <c r="B86" i="12"/>
  <c r="B77" i="11" s="1"/>
  <c r="G109" i="12"/>
  <c r="R101" i="12"/>
  <c r="Q30" i="15"/>
  <c r="Q33" i="15" s="1"/>
  <c r="Q76" i="12"/>
  <c r="Q101" i="12" s="1"/>
  <c r="T61" i="12"/>
  <c r="P35" i="15"/>
  <c r="T110" i="12"/>
  <c r="Z110" i="12" s="1"/>
  <c r="F63" i="2"/>
  <c r="C107" i="12"/>
  <c r="C77" i="11"/>
  <c r="D80" i="5" l="1"/>
  <c r="D83" i="5" s="1"/>
  <c r="U48" i="12"/>
  <c r="U42" i="12"/>
  <c r="N120" i="12"/>
  <c r="S25" i="15"/>
  <c r="Y25" i="15" s="1"/>
  <c r="B34" i="12"/>
  <c r="P199" i="2"/>
  <c r="Q199" i="2" s="1"/>
  <c r="AD32" i="12"/>
  <c r="AF32" i="12" s="1"/>
  <c r="AB32" i="12"/>
  <c r="X32" i="12"/>
  <c r="N59" i="2"/>
  <c r="X115" i="12"/>
  <c r="AB115" i="12"/>
  <c r="U26" i="12"/>
  <c r="U32" i="12"/>
  <c r="E80" i="6"/>
  <c r="N49" i="2"/>
  <c r="P49" i="2" s="1"/>
  <c r="Q49" i="2" s="1"/>
  <c r="E35" i="2"/>
  <c r="B25" i="11"/>
  <c r="N77" i="2"/>
  <c r="P77" i="2" s="1"/>
  <c r="Q77" i="2" s="1"/>
  <c r="N11" i="2"/>
  <c r="I80" i="12"/>
  <c r="AD80" i="12" s="1"/>
  <c r="AF80" i="12" s="1"/>
  <c r="B71" i="1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H65" i="16" s="1"/>
  <c r="P7" i="2"/>
  <c r="Q7" i="2" s="1"/>
  <c r="N85" i="2"/>
  <c r="P73" i="2"/>
  <c r="Q73" i="2" s="1"/>
  <c r="H118" i="12"/>
  <c r="H35" i="15" s="1"/>
  <c r="F83" i="10"/>
  <c r="F86" i="10" s="1"/>
  <c r="I73" i="12"/>
  <c r="AD73" i="12" s="1"/>
  <c r="AF73" i="12" s="1"/>
  <c r="X96" i="12"/>
  <c r="D69" i="2"/>
  <c r="N63" i="2"/>
  <c r="N69" i="2" s="1"/>
  <c r="N90" i="2"/>
  <c r="N94" i="2"/>
  <c r="P94" i="2" s="1"/>
  <c r="Q94" i="2" s="1"/>
  <c r="I88" i="12"/>
  <c r="AB88" i="12" s="1"/>
  <c r="I64" i="12"/>
  <c r="X64" i="12" s="1"/>
  <c r="N91" i="2"/>
  <c r="P91" i="2" s="1"/>
  <c r="Q91" i="2" s="1"/>
  <c r="P14" i="2"/>
  <c r="Q14" i="2" s="1"/>
  <c r="N34" i="2"/>
  <c r="P34" i="2" s="1"/>
  <c r="Q34" i="2" s="1"/>
  <c r="K87" i="2"/>
  <c r="N86" i="2"/>
  <c r="P86" i="2" s="1"/>
  <c r="Q86" i="2" s="1"/>
  <c r="I72" i="12"/>
  <c r="X72" i="12" s="1"/>
  <c r="I44" i="12"/>
  <c r="X44" i="12" s="1"/>
  <c r="N29" i="14"/>
  <c r="G65" i="16" s="1"/>
  <c r="E44" i="16"/>
  <c r="C108" i="11"/>
  <c r="N78" i="6"/>
  <c r="C61" i="16"/>
  <c r="I61" i="16" s="1"/>
  <c r="D50" i="12"/>
  <c r="I50" i="12" s="1"/>
  <c r="AB50" i="12" s="1"/>
  <c r="I45" i="12"/>
  <c r="AB45" i="12" s="1"/>
  <c r="I18" i="12"/>
  <c r="AB18" i="12" s="1"/>
  <c r="C76" i="12"/>
  <c r="C31" i="15" s="1"/>
  <c r="I61" i="12"/>
  <c r="X61" i="12" s="1"/>
  <c r="I17" i="12"/>
  <c r="AB17" i="12" s="1"/>
  <c r="I54" i="11"/>
  <c r="I78" i="11"/>
  <c r="F73" i="5"/>
  <c r="F80" i="5" s="1"/>
  <c r="F83" i="5" s="1"/>
  <c r="N73" i="5"/>
  <c r="D62" i="16"/>
  <c r="D35" i="16"/>
  <c r="I87" i="12"/>
  <c r="X87" i="12" s="1"/>
  <c r="B64" i="11"/>
  <c r="B34" i="16" s="1"/>
  <c r="I34" i="16" s="1"/>
  <c r="B63" i="11"/>
  <c r="I63" i="11" s="1"/>
  <c r="B55" i="11"/>
  <c r="B27" i="16" s="1"/>
  <c r="S120" i="12"/>
  <c r="S122" i="12" s="1"/>
  <c r="Q37" i="15"/>
  <c r="AB112" i="12"/>
  <c r="I106" i="12"/>
  <c r="X106" i="12" s="1"/>
  <c r="O120" i="12"/>
  <c r="O122" i="12" s="1"/>
  <c r="I37" i="11"/>
  <c r="X108" i="12"/>
  <c r="I114" i="12"/>
  <c r="AB114" i="12" s="1"/>
  <c r="B105" i="11"/>
  <c r="I105" i="11" s="1"/>
  <c r="I43" i="12"/>
  <c r="AD43" i="12" s="1"/>
  <c r="AF43" i="12" s="1"/>
  <c r="B34" i="11"/>
  <c r="I34" i="11" s="1"/>
  <c r="I95" i="12"/>
  <c r="X95" i="12" s="1"/>
  <c r="B86" i="11"/>
  <c r="B50" i="16" s="1"/>
  <c r="I50" i="16" s="1"/>
  <c r="I97" i="12"/>
  <c r="AB97" i="12" s="1"/>
  <c r="B88" i="11"/>
  <c r="I88" i="11" s="1"/>
  <c r="I98" i="12"/>
  <c r="AB98" i="12" s="1"/>
  <c r="B89" i="11"/>
  <c r="I89" i="11" s="1"/>
  <c r="I49" i="12"/>
  <c r="X49" i="12" s="1"/>
  <c r="B40" i="11"/>
  <c r="I40" i="11" s="1"/>
  <c r="I111" i="12"/>
  <c r="X111" i="12" s="1"/>
  <c r="B102" i="11"/>
  <c r="I102" i="11" s="1"/>
  <c r="I92" i="12"/>
  <c r="AB92" i="12" s="1"/>
  <c r="B83" i="11"/>
  <c r="I74" i="12"/>
  <c r="X74" i="12" s="1"/>
  <c r="B41" i="11"/>
  <c r="I41" i="11" s="1"/>
  <c r="I105" i="12"/>
  <c r="B96" i="11"/>
  <c r="C23" i="12"/>
  <c r="I90" i="12"/>
  <c r="AD90" i="12" s="1"/>
  <c r="AF90" i="12" s="1"/>
  <c r="E99" i="12"/>
  <c r="E32" i="15" s="1"/>
  <c r="E33" i="15" s="1"/>
  <c r="E37" i="15" s="1"/>
  <c r="N37" i="15"/>
  <c r="I82" i="12"/>
  <c r="X82" i="12" s="1"/>
  <c r="G31" i="15"/>
  <c r="G33" i="15" s="1"/>
  <c r="G101" i="12"/>
  <c r="M83" i="10"/>
  <c r="M86" i="10" s="1"/>
  <c r="F27" i="11"/>
  <c r="C99" i="12"/>
  <c r="C32" i="15" s="1"/>
  <c r="I19" i="12"/>
  <c r="X19" i="12" s="1"/>
  <c r="D24" i="16"/>
  <c r="D108" i="11"/>
  <c r="AB58" i="12"/>
  <c r="I91" i="12"/>
  <c r="X91" i="12" s="1"/>
  <c r="C80" i="6"/>
  <c r="G80" i="6"/>
  <c r="I85" i="12"/>
  <c r="AB85" i="12" s="1"/>
  <c r="H90" i="11"/>
  <c r="H92" i="11" s="1"/>
  <c r="H110" i="11" s="1"/>
  <c r="H114" i="11" s="1"/>
  <c r="P72" i="2"/>
  <c r="Q72" i="2" s="1"/>
  <c r="F35" i="2"/>
  <c r="F50" i="2" s="1"/>
  <c r="I82" i="11"/>
  <c r="C70" i="2"/>
  <c r="G35" i="2"/>
  <c r="G36" i="2" s="1"/>
  <c r="J70" i="2"/>
  <c r="B96" i="2"/>
  <c r="K95" i="2"/>
  <c r="G96" i="2"/>
  <c r="X68" i="12"/>
  <c r="D70" i="2"/>
  <c r="D35" i="2"/>
  <c r="D36" i="2" s="1"/>
  <c r="I85" i="11"/>
  <c r="D96" i="2"/>
  <c r="E96" i="2"/>
  <c r="L96" i="2"/>
  <c r="B70" i="2"/>
  <c r="I45" i="16"/>
  <c r="B26" i="16"/>
  <c r="I26" i="16" s="1"/>
  <c r="I76" i="11"/>
  <c r="I81" i="11"/>
  <c r="P145" i="2"/>
  <c r="Q145" i="2" s="1"/>
  <c r="P120" i="12"/>
  <c r="P122" i="12" s="1"/>
  <c r="I110" i="12"/>
  <c r="AB110" i="12" s="1"/>
  <c r="I47" i="12"/>
  <c r="X47" i="12" s="1"/>
  <c r="AD83" i="12"/>
  <c r="AF83" i="12" s="1"/>
  <c r="AB93" i="12"/>
  <c r="I19" i="11"/>
  <c r="I66" i="11"/>
  <c r="C118" i="12"/>
  <c r="G67" i="11"/>
  <c r="G92" i="11" s="1"/>
  <c r="F108" i="11"/>
  <c r="I48" i="11"/>
  <c r="AD68" i="12"/>
  <c r="AF68" i="12" s="1"/>
  <c r="I8" i="11"/>
  <c r="C15" i="11"/>
  <c r="M37" i="15"/>
  <c r="U27" i="12"/>
  <c r="U33" i="12"/>
  <c r="S35" i="15"/>
  <c r="Y35" i="15" s="1"/>
  <c r="R37" i="15"/>
  <c r="I75" i="12"/>
  <c r="X75" i="12" s="1"/>
  <c r="I53" i="11"/>
  <c r="I46" i="12"/>
  <c r="AB46" i="12" s="1"/>
  <c r="I27" i="12"/>
  <c r="X27" i="12" s="1"/>
  <c r="I104" i="12"/>
  <c r="AB104" i="12" s="1"/>
  <c r="G108" i="11"/>
  <c r="G118" i="12"/>
  <c r="I73" i="11"/>
  <c r="X58" i="12"/>
  <c r="F118" i="12"/>
  <c r="F35" i="15" s="1"/>
  <c r="D83" i="10"/>
  <c r="D86" i="10" s="1"/>
  <c r="I17" i="16"/>
  <c r="N21" i="7"/>
  <c r="E65" i="16" s="1"/>
  <c r="E59" i="16"/>
  <c r="E62" i="16" s="1"/>
  <c r="E108" i="11"/>
  <c r="C67" i="11"/>
  <c r="C24" i="16"/>
  <c r="C36" i="16" s="1"/>
  <c r="I46" i="16"/>
  <c r="D118" i="12"/>
  <c r="D35" i="15" s="1"/>
  <c r="E80" i="5"/>
  <c r="E83" i="5" s="1"/>
  <c r="I36" i="11"/>
  <c r="U31" i="12"/>
  <c r="U29" i="12"/>
  <c r="U30" i="12"/>
  <c r="U28" i="12"/>
  <c r="Z34" i="12"/>
  <c r="U41" i="12"/>
  <c r="U85" i="12"/>
  <c r="U96" i="12"/>
  <c r="U89" i="12"/>
  <c r="U93" i="12"/>
  <c r="U90" i="12"/>
  <c r="U87" i="12"/>
  <c r="U91" i="12"/>
  <c r="U97" i="12"/>
  <c r="U83" i="12"/>
  <c r="U88" i="12"/>
  <c r="U82" i="12"/>
  <c r="U95" i="12"/>
  <c r="U92" i="12"/>
  <c r="U94" i="12"/>
  <c r="U79" i="12"/>
  <c r="U86" i="12"/>
  <c r="U98" i="12"/>
  <c r="U84" i="12"/>
  <c r="U80" i="12"/>
  <c r="T101" i="12"/>
  <c r="Z101" i="12" s="1"/>
  <c r="U46" i="12"/>
  <c r="M120" i="12"/>
  <c r="Z51" i="12"/>
  <c r="U50" i="12"/>
  <c r="U49" i="12"/>
  <c r="U43" i="12"/>
  <c r="U47" i="12"/>
  <c r="U44" i="12"/>
  <c r="U45" i="12"/>
  <c r="S24" i="15"/>
  <c r="Y24" i="15" s="1"/>
  <c r="P285" i="2"/>
  <c r="Q285" i="2" s="1"/>
  <c r="I113" i="12"/>
  <c r="AB113" i="12" s="1"/>
  <c r="B118" i="12"/>
  <c r="I41" i="16"/>
  <c r="I21" i="11"/>
  <c r="I109" i="12"/>
  <c r="X109" i="12" s="1"/>
  <c r="I25" i="16"/>
  <c r="J35" i="2"/>
  <c r="J36" i="2" s="1"/>
  <c r="I29" i="12"/>
  <c r="X29" i="12" s="1"/>
  <c r="P214" i="2"/>
  <c r="Q214" i="2" s="1"/>
  <c r="C35" i="2"/>
  <c r="C50" i="2" s="1"/>
  <c r="I30" i="12"/>
  <c r="AB30" i="12" s="1"/>
  <c r="I31" i="12"/>
  <c r="I62" i="12"/>
  <c r="AB62" i="12" s="1"/>
  <c r="I30" i="16"/>
  <c r="X59" i="12"/>
  <c r="I49" i="11"/>
  <c r="I35" i="11"/>
  <c r="M80" i="5"/>
  <c r="M83" i="5" s="1"/>
  <c r="D54" i="12"/>
  <c r="D76" i="12" s="1"/>
  <c r="D31" i="15" s="1"/>
  <c r="D45" i="11"/>
  <c r="AB59" i="12"/>
  <c r="X67" i="12"/>
  <c r="AD63" i="12"/>
  <c r="AF63" i="12" s="1"/>
  <c r="D24" i="11"/>
  <c r="D25" i="11" s="1"/>
  <c r="D34" i="12"/>
  <c r="D24" i="15" s="1"/>
  <c r="D25" i="15" s="1"/>
  <c r="D9" i="16" s="1"/>
  <c r="AD67" i="12"/>
  <c r="AF67" i="12" s="1"/>
  <c r="X63" i="12"/>
  <c r="I10" i="11"/>
  <c r="N36" i="6"/>
  <c r="N38" i="6" s="1"/>
  <c r="C26" i="12"/>
  <c r="C34" i="12" s="1"/>
  <c r="C24" i="15" s="1"/>
  <c r="C25" i="15" s="1"/>
  <c r="B33" i="16"/>
  <c r="I33" i="16" s="1"/>
  <c r="I62" i="11"/>
  <c r="I47" i="11"/>
  <c r="I59" i="11"/>
  <c r="I56" i="12"/>
  <c r="X56" i="12" s="1"/>
  <c r="N200" i="2"/>
  <c r="M96" i="2"/>
  <c r="L35" i="2"/>
  <c r="K35" i="2"/>
  <c r="L70" i="2"/>
  <c r="K70" i="2"/>
  <c r="G70" i="2"/>
  <c r="I78" i="2"/>
  <c r="X83" i="12"/>
  <c r="I77" i="11"/>
  <c r="F27" i="16"/>
  <c r="F35" i="16"/>
  <c r="F22" i="12"/>
  <c r="F23" i="12" s="1"/>
  <c r="F20" i="15" s="1"/>
  <c r="F21" i="15" s="1"/>
  <c r="X94" i="12"/>
  <c r="AB94" i="12"/>
  <c r="AD94" i="12"/>
  <c r="F23" i="16"/>
  <c r="F51" i="12"/>
  <c r="F30" i="15" s="1"/>
  <c r="F60" i="16"/>
  <c r="I101" i="11"/>
  <c r="I84" i="11"/>
  <c r="F48" i="16"/>
  <c r="I48" i="16" s="1"/>
  <c r="I80" i="11"/>
  <c r="D90" i="11"/>
  <c r="D44" i="16"/>
  <c r="D52" i="16" s="1"/>
  <c r="B44" i="16"/>
  <c r="F99" i="12"/>
  <c r="F32" i="15" s="1"/>
  <c r="I79" i="12"/>
  <c r="AB65" i="12"/>
  <c r="X65" i="12"/>
  <c r="AD65" i="12"/>
  <c r="AF65" i="12" s="1"/>
  <c r="B23" i="16"/>
  <c r="I46" i="11"/>
  <c r="I11" i="11"/>
  <c r="B15" i="11"/>
  <c r="M35" i="2"/>
  <c r="H31" i="16"/>
  <c r="I61" i="11"/>
  <c r="T118" i="12"/>
  <c r="Z23" i="12"/>
  <c r="U20" i="12"/>
  <c r="U22" i="12"/>
  <c r="U17" i="12"/>
  <c r="U19" i="12"/>
  <c r="U21" i="12"/>
  <c r="U18" i="12"/>
  <c r="U16" i="12"/>
  <c r="I107" i="12"/>
  <c r="E43" i="16"/>
  <c r="I75" i="11"/>
  <c r="F51" i="11"/>
  <c r="F24" i="16" s="1"/>
  <c r="F60" i="12"/>
  <c r="I60" i="12" s="1"/>
  <c r="I55" i="12"/>
  <c r="B76" i="12"/>
  <c r="C87" i="2"/>
  <c r="AB21" i="12"/>
  <c r="X21" i="12"/>
  <c r="I16" i="12"/>
  <c r="B20" i="15"/>
  <c r="X84" i="12"/>
  <c r="AD84" i="12"/>
  <c r="AF84" i="12" s="1"/>
  <c r="AB84" i="12"/>
  <c r="B51" i="12"/>
  <c r="I41" i="12"/>
  <c r="Z61" i="12"/>
  <c r="H76" i="12"/>
  <c r="H101" i="12" s="1"/>
  <c r="I69" i="12"/>
  <c r="I98" i="11"/>
  <c r="B24" i="16"/>
  <c r="I32" i="11"/>
  <c r="I86" i="12"/>
  <c r="B99" i="12"/>
  <c r="C44" i="16"/>
  <c r="C52" i="16" s="1"/>
  <c r="C90" i="11"/>
  <c r="G62" i="16"/>
  <c r="I57" i="16"/>
  <c r="C25" i="11"/>
  <c r="X57" i="12"/>
  <c r="AD57" i="12"/>
  <c r="AF57" i="12" s="1"/>
  <c r="AB57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8" i="12"/>
  <c r="F69" i="2"/>
  <c r="F70" i="2" s="1"/>
  <c r="P31" i="15"/>
  <c r="T76" i="12"/>
  <c r="D22" i="12"/>
  <c r="D14" i="11"/>
  <c r="N25" i="5"/>
  <c r="R120" i="12"/>
  <c r="R122" i="12" s="1"/>
  <c r="I95" i="11"/>
  <c r="I89" i="12"/>
  <c r="D99" i="12"/>
  <c r="D32" i="15" s="1"/>
  <c r="O37" i="15"/>
  <c r="F80" i="6"/>
  <c r="S30" i="15"/>
  <c r="F39" i="16"/>
  <c r="F90" i="11"/>
  <c r="Q120" i="12"/>
  <c r="Q122" i="12" s="1"/>
  <c r="F28" i="16"/>
  <c r="I28" i="16" s="1"/>
  <c r="I56" i="11"/>
  <c r="L27" i="15"/>
  <c r="S21" i="15"/>
  <c r="Y21" i="15" s="1"/>
  <c r="E90" i="11"/>
  <c r="E92" i="11" s="1"/>
  <c r="I100" i="11"/>
  <c r="C59" i="16"/>
  <c r="T36" i="12"/>
  <c r="I71" i="12"/>
  <c r="AD66" i="12"/>
  <c r="AF66" i="12" s="1"/>
  <c r="AB66" i="12"/>
  <c r="X66" i="12"/>
  <c r="J87" i="2"/>
  <c r="J96" i="2" s="1"/>
  <c r="C95" i="2"/>
  <c r="I18" i="11"/>
  <c r="X20" i="12"/>
  <c r="AB20" i="12"/>
  <c r="AD20" i="12"/>
  <c r="AF20" i="12" s="1"/>
  <c r="E70" i="2"/>
  <c r="E78" i="2" s="1"/>
  <c r="I20" i="11"/>
  <c r="E36" i="2"/>
  <c r="E50" i="2"/>
  <c r="B35" i="2"/>
  <c r="N178" i="12" l="1"/>
  <c r="N122" i="12"/>
  <c r="M122" i="12"/>
  <c r="M178" i="12"/>
  <c r="M40" i="15"/>
  <c r="N40" i="15"/>
  <c r="N41" i="15" s="1"/>
  <c r="O178" i="12"/>
  <c r="L40" i="15"/>
  <c r="R40" i="15"/>
  <c r="R41" i="15" s="1"/>
  <c r="S178" i="12"/>
  <c r="Q40" i="15"/>
  <c r="Q41" i="15" s="1"/>
  <c r="R178" i="12"/>
  <c r="P40" i="15"/>
  <c r="Q178" i="12"/>
  <c r="O40" i="15"/>
  <c r="O41" i="15" s="1"/>
  <c r="P178" i="12"/>
  <c r="F29" i="16"/>
  <c r="I55" i="11"/>
  <c r="B24" i="15"/>
  <c r="B25" i="15" s="1"/>
  <c r="I25" i="15" s="1"/>
  <c r="X73" i="12"/>
  <c r="AB73" i="12"/>
  <c r="X80" i="12"/>
  <c r="F36" i="2"/>
  <c r="F78" i="2"/>
  <c r="AB80" i="12"/>
  <c r="P63" i="2"/>
  <c r="Q63" i="2" s="1"/>
  <c r="N95" i="2"/>
  <c r="P95" i="2" s="1"/>
  <c r="Q95" i="2" s="1"/>
  <c r="M41" i="15"/>
  <c r="I96" i="11"/>
  <c r="I108" i="11" s="1"/>
  <c r="B58" i="16"/>
  <c r="B62" i="16" s="1"/>
  <c r="B43" i="16"/>
  <c r="I43" i="16" s="1"/>
  <c r="B90" i="11"/>
  <c r="I90" i="11" s="1"/>
  <c r="K96" i="2"/>
  <c r="AB64" i="12"/>
  <c r="AD64" i="12"/>
  <c r="AF64" i="12" s="1"/>
  <c r="AB72" i="12"/>
  <c r="B67" i="11"/>
  <c r="X88" i="12"/>
  <c r="B35" i="16"/>
  <c r="I35" i="16" s="1"/>
  <c r="I64" i="11"/>
  <c r="AB44" i="12"/>
  <c r="AD44" i="12"/>
  <c r="AF44" i="12" s="1"/>
  <c r="X45" i="12"/>
  <c r="N80" i="6"/>
  <c r="AD72" i="12"/>
  <c r="AF72" i="12" s="1"/>
  <c r="AD18" i="12"/>
  <c r="AF18" i="12" s="1"/>
  <c r="X18" i="12"/>
  <c r="AD45" i="12"/>
  <c r="AF45" i="12" s="1"/>
  <c r="AD61" i="12"/>
  <c r="AF61" i="12" s="1"/>
  <c r="AB61" i="12"/>
  <c r="G110" i="11"/>
  <c r="G114" i="11" s="1"/>
  <c r="AD17" i="12"/>
  <c r="AF17" i="12" s="1"/>
  <c r="X17" i="12"/>
  <c r="AB87" i="12"/>
  <c r="I27" i="16"/>
  <c r="AB106" i="12"/>
  <c r="AD50" i="12"/>
  <c r="AF50" i="12" s="1"/>
  <c r="I86" i="11"/>
  <c r="AB111" i="12"/>
  <c r="AB95" i="12"/>
  <c r="AB74" i="12"/>
  <c r="X92" i="12"/>
  <c r="E101" i="12"/>
  <c r="E120" i="12" s="1"/>
  <c r="E122" i="12" s="1"/>
  <c r="E179" i="12" s="1"/>
  <c r="X98" i="12"/>
  <c r="AF49" i="12"/>
  <c r="B18" i="16"/>
  <c r="B19" i="16" s="1"/>
  <c r="X97" i="12"/>
  <c r="AB49" i="12"/>
  <c r="B42" i="11"/>
  <c r="X43" i="12"/>
  <c r="B108" i="11"/>
  <c r="X50" i="12"/>
  <c r="AB43" i="12"/>
  <c r="X90" i="12"/>
  <c r="AB105" i="12"/>
  <c r="X105" i="12"/>
  <c r="B47" i="16"/>
  <c r="I47" i="16" s="1"/>
  <c r="I83" i="11"/>
  <c r="B51" i="16"/>
  <c r="I51" i="16" s="1"/>
  <c r="AB90" i="12"/>
  <c r="AB82" i="12"/>
  <c r="AD82" i="12"/>
  <c r="AF82" i="12" s="1"/>
  <c r="C92" i="11"/>
  <c r="G120" i="12"/>
  <c r="G122" i="12" s="1"/>
  <c r="AD91" i="12"/>
  <c r="AF91" i="12" s="1"/>
  <c r="X85" i="12"/>
  <c r="E110" i="11"/>
  <c r="C101" i="12"/>
  <c r="AB19" i="12"/>
  <c r="AD19" i="12"/>
  <c r="AF19" i="12" s="1"/>
  <c r="AB91" i="12"/>
  <c r="C20" i="15"/>
  <c r="C21" i="15" s="1"/>
  <c r="C7" i="16" s="1"/>
  <c r="I25" i="12"/>
  <c r="AD85" i="12"/>
  <c r="AF85" i="12" s="1"/>
  <c r="C27" i="11"/>
  <c r="E52" i="16"/>
  <c r="E54" i="16" s="1"/>
  <c r="E64" i="16" s="1"/>
  <c r="G50" i="2"/>
  <c r="D50" i="2"/>
  <c r="G78" i="2"/>
  <c r="G289" i="2" s="1"/>
  <c r="X110" i="12"/>
  <c r="AB75" i="12"/>
  <c r="J78" i="2"/>
  <c r="J82" i="2" s="1"/>
  <c r="D78" i="2"/>
  <c r="D289" i="2" s="1"/>
  <c r="AD47" i="12"/>
  <c r="AF47" i="12" s="1"/>
  <c r="C78" i="2"/>
  <c r="C82" i="2" s="1"/>
  <c r="AB47" i="12"/>
  <c r="X104" i="12"/>
  <c r="J50" i="2"/>
  <c r="U34" i="12"/>
  <c r="X46" i="12"/>
  <c r="AD46" i="12"/>
  <c r="AF46" i="12" s="1"/>
  <c r="N287" i="2"/>
  <c r="B113" i="11" s="1"/>
  <c r="AB27" i="12"/>
  <c r="AD27" i="12"/>
  <c r="AF27" i="12" s="1"/>
  <c r="G64" i="16"/>
  <c r="G35" i="15"/>
  <c r="G37" i="15" s="1"/>
  <c r="AB109" i="12"/>
  <c r="AD56" i="12"/>
  <c r="AF56" i="12" s="1"/>
  <c r="AB56" i="12"/>
  <c r="N86" i="10"/>
  <c r="C54" i="16"/>
  <c r="I24" i="16"/>
  <c r="AD29" i="12"/>
  <c r="AF29" i="12" s="1"/>
  <c r="I118" i="12"/>
  <c r="J118" i="12" s="1"/>
  <c r="U99" i="12"/>
  <c r="U101" i="12"/>
  <c r="U51" i="12"/>
  <c r="F52" i="16"/>
  <c r="AB29" i="12"/>
  <c r="C36" i="12"/>
  <c r="I33" i="12"/>
  <c r="AB33" i="12" s="1"/>
  <c r="I26" i="12"/>
  <c r="AD26" i="12" s="1"/>
  <c r="AF26" i="12" s="1"/>
  <c r="I54" i="12"/>
  <c r="X54" i="12" s="1"/>
  <c r="C36" i="2"/>
  <c r="AD30" i="12"/>
  <c r="AF30" i="12" s="1"/>
  <c r="X30" i="12"/>
  <c r="AB31" i="12"/>
  <c r="X31" i="12"/>
  <c r="X62" i="12"/>
  <c r="AD62" i="12"/>
  <c r="AF62" i="12" s="1"/>
  <c r="N80" i="5"/>
  <c r="I24" i="11"/>
  <c r="D22" i="16"/>
  <c r="D67" i="11"/>
  <c r="I45" i="11"/>
  <c r="I25" i="11"/>
  <c r="I34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6" i="12"/>
  <c r="F31" i="15" s="1"/>
  <c r="F33" i="15" s="1"/>
  <c r="F36" i="12"/>
  <c r="I51" i="11"/>
  <c r="F36" i="16"/>
  <c r="I29" i="16"/>
  <c r="I60" i="16"/>
  <c r="F62" i="16"/>
  <c r="E289" i="2"/>
  <c r="E82" i="2"/>
  <c r="L37" i="15"/>
  <c r="S27" i="15"/>
  <c r="Y27" i="15" s="1"/>
  <c r="X89" i="12"/>
  <c r="AB89" i="12"/>
  <c r="C9" i="16"/>
  <c r="B30" i="15"/>
  <c r="B101" i="12"/>
  <c r="AB16" i="12"/>
  <c r="X16" i="12"/>
  <c r="AD16" i="12"/>
  <c r="AF16" i="12" s="1"/>
  <c r="Z36" i="12"/>
  <c r="I14" i="11"/>
  <c r="D15" i="11"/>
  <c r="D27" i="11" s="1"/>
  <c r="U71" i="12"/>
  <c r="U67" i="12"/>
  <c r="U65" i="12"/>
  <c r="U68" i="12"/>
  <c r="U60" i="12"/>
  <c r="U69" i="12"/>
  <c r="U72" i="12"/>
  <c r="U74" i="12"/>
  <c r="U62" i="12"/>
  <c r="U75" i="12"/>
  <c r="U70" i="12"/>
  <c r="U55" i="12"/>
  <c r="U54" i="12"/>
  <c r="U59" i="12"/>
  <c r="U56" i="12"/>
  <c r="U58" i="12"/>
  <c r="Z76" i="12"/>
  <c r="U63" i="12"/>
  <c r="U66" i="12"/>
  <c r="U73" i="12"/>
  <c r="U57" i="12"/>
  <c r="U64" i="12"/>
  <c r="AD28" i="12"/>
  <c r="AF28" i="12" s="1"/>
  <c r="X28" i="12"/>
  <c r="AB28" i="12"/>
  <c r="F27" i="15"/>
  <c r="F7" i="16"/>
  <c r="F11" i="16" s="1"/>
  <c r="U61" i="12"/>
  <c r="C96" i="2"/>
  <c r="B35" i="15"/>
  <c r="U23" i="12"/>
  <c r="Z118" i="12"/>
  <c r="U118" i="12"/>
  <c r="M36" i="2"/>
  <c r="M78" i="2"/>
  <c r="M50" i="2"/>
  <c r="I23" i="16"/>
  <c r="I44" i="16"/>
  <c r="D51" i="12"/>
  <c r="I51" i="12" s="1"/>
  <c r="J42" i="12" s="1"/>
  <c r="I48" i="12"/>
  <c r="I39" i="16"/>
  <c r="F82" i="2"/>
  <c r="F289" i="2"/>
  <c r="C62" i="16"/>
  <c r="I59" i="16"/>
  <c r="D23" i="12"/>
  <c r="I23" i="12" s="1"/>
  <c r="I22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99" i="12"/>
  <c r="B31" i="15"/>
  <c r="X107" i="12"/>
  <c r="AB107" i="12"/>
  <c r="P59" i="2"/>
  <c r="Q59" i="2" s="1"/>
  <c r="B27" i="11"/>
  <c r="AB71" i="12"/>
  <c r="X71" i="12"/>
  <c r="AD71" i="12"/>
  <c r="AF71" i="12" s="1"/>
  <c r="P11" i="2"/>
  <c r="Q11" i="2" s="1"/>
  <c r="N35" i="2"/>
  <c r="H31" i="15"/>
  <c r="H33" i="15" s="1"/>
  <c r="H37" i="15" s="1"/>
  <c r="H120" i="12"/>
  <c r="H122" i="12" s="1"/>
  <c r="N87" i="2"/>
  <c r="P85" i="2"/>
  <c r="Q85" i="2" s="1"/>
  <c r="AD60" i="12"/>
  <c r="AF60" i="12" s="1"/>
  <c r="AB60" i="12"/>
  <c r="X60" i="12"/>
  <c r="B50" i="2"/>
  <c r="B36" i="2"/>
  <c r="B78" i="2"/>
  <c r="P90" i="2"/>
  <c r="Q90" i="2" s="1"/>
  <c r="Y30" i="15"/>
  <c r="T120" i="12"/>
  <c r="X86" i="12"/>
  <c r="AD86" i="12"/>
  <c r="AF86" i="12" s="1"/>
  <c r="AB86" i="12"/>
  <c r="I16" i="16"/>
  <c r="X69" i="12"/>
  <c r="AB69" i="12"/>
  <c r="AD69" i="12"/>
  <c r="AF69" i="12" s="1"/>
  <c r="AD41" i="12"/>
  <c r="AF41" i="12" s="1"/>
  <c r="X41" i="12"/>
  <c r="AB41" i="12"/>
  <c r="B36" i="12"/>
  <c r="AD55" i="12"/>
  <c r="AF55" i="12" s="1"/>
  <c r="AB55" i="12"/>
  <c r="X55" i="12"/>
  <c r="F67" i="11"/>
  <c r="F92" i="11" s="1"/>
  <c r="F110" i="11" s="1"/>
  <c r="F114" i="11" s="1"/>
  <c r="H36" i="16"/>
  <c r="H54" i="16" s="1"/>
  <c r="H64" i="16" s="1"/>
  <c r="I31" i="16"/>
  <c r="AB79" i="12"/>
  <c r="X79" i="12"/>
  <c r="AD79" i="12"/>
  <c r="AF79" i="12" s="1"/>
  <c r="C65" i="16" l="1"/>
  <c r="C113" i="11"/>
  <c r="J89" i="12"/>
  <c r="J81" i="12"/>
  <c r="E114" i="11"/>
  <c r="L41" i="15"/>
  <c r="S40" i="15"/>
  <c r="T122" i="12"/>
  <c r="J30" i="12"/>
  <c r="J32" i="12"/>
  <c r="B36" i="16"/>
  <c r="N83" i="5"/>
  <c r="D65" i="16"/>
  <c r="B92" i="11"/>
  <c r="B110" i="11" s="1"/>
  <c r="B114" i="11" s="1"/>
  <c r="P287" i="2"/>
  <c r="Q287" i="2" s="1"/>
  <c r="B65" i="16"/>
  <c r="C110" i="11"/>
  <c r="C114" i="11" s="1"/>
  <c r="I58" i="16"/>
  <c r="B52" i="16"/>
  <c r="C120" i="12"/>
  <c r="C122" i="12" s="1"/>
  <c r="C179" i="12" s="1"/>
  <c r="G82" i="2"/>
  <c r="C289" i="2"/>
  <c r="J289" i="2"/>
  <c r="C27" i="15"/>
  <c r="C37" i="15" s="1"/>
  <c r="C40" i="15" s="1"/>
  <c r="C11" i="16"/>
  <c r="C64" i="16" s="1"/>
  <c r="D82" i="2"/>
  <c r="I35" i="15"/>
  <c r="W35" i="15" s="1"/>
  <c r="F54" i="16"/>
  <c r="F64" i="16" s="1"/>
  <c r="AB54" i="12"/>
  <c r="AD54" i="12"/>
  <c r="AF54" i="12" s="1"/>
  <c r="F101" i="12"/>
  <c r="F120" i="12" s="1"/>
  <c r="F179" i="12" s="1"/>
  <c r="J27" i="12"/>
  <c r="AD33" i="12"/>
  <c r="AF33" i="12" s="1"/>
  <c r="B120" i="12"/>
  <c r="I15" i="11"/>
  <c r="B9" i="16"/>
  <c r="I9" i="16" s="1"/>
  <c r="AB26" i="12"/>
  <c r="AB34" i="12" s="1"/>
  <c r="X26" i="12"/>
  <c r="X33" i="12"/>
  <c r="I22" i="16"/>
  <c r="D36" i="16"/>
  <c r="D54" i="16" s="1"/>
  <c r="D92" i="11"/>
  <c r="I24" i="15"/>
  <c r="AC24" i="15" s="1"/>
  <c r="AE24" i="15" s="1"/>
  <c r="J29" i="12"/>
  <c r="J28" i="12"/>
  <c r="X34" i="12"/>
  <c r="J33" i="12"/>
  <c r="J31" i="12"/>
  <c r="J26" i="12"/>
  <c r="AD34" i="12"/>
  <c r="AF34" i="12" s="1"/>
  <c r="K289" i="2"/>
  <c r="K82" i="2"/>
  <c r="N70" i="2"/>
  <c r="P70" i="2" s="1"/>
  <c r="Q70" i="2" s="1"/>
  <c r="I76" i="12"/>
  <c r="J71" i="12" s="1"/>
  <c r="J86" i="12"/>
  <c r="I31" i="15"/>
  <c r="AA31" i="15" s="1"/>
  <c r="J79" i="12"/>
  <c r="I67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8" i="12"/>
  <c r="AF48" i="12" s="1"/>
  <c r="J48" i="12"/>
  <c r="X48" i="12"/>
  <c r="AB48" i="12"/>
  <c r="X118" i="12"/>
  <c r="AB11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AB51" i="12"/>
  <c r="J45" i="12"/>
  <c r="X51" i="12"/>
  <c r="AD51" i="12"/>
  <c r="AF51" i="12" s="1"/>
  <c r="J44" i="12"/>
  <c r="J46" i="12"/>
  <c r="J50" i="12"/>
  <c r="J43" i="12"/>
  <c r="J47" i="12"/>
  <c r="J49" i="12"/>
  <c r="I27" i="11"/>
  <c r="D20" i="15"/>
  <c r="D21" i="15" s="1"/>
  <c r="D36" i="12"/>
  <c r="I36" i="12" s="1"/>
  <c r="D30" i="15"/>
  <c r="D33" i="15" s="1"/>
  <c r="D101" i="12"/>
  <c r="I62" i="16"/>
  <c r="F37" i="15"/>
  <c r="B82" i="2"/>
  <c r="B289" i="2"/>
  <c r="N96" i="2"/>
  <c r="P96" i="2" s="1"/>
  <c r="Q96" i="2" s="1"/>
  <c r="P87" i="2"/>
  <c r="Q87" i="2" s="1"/>
  <c r="W25" i="15"/>
  <c r="AC25" i="15"/>
  <c r="AE25" i="15" s="1"/>
  <c r="U76" i="12"/>
  <c r="J41" i="12"/>
  <c r="I19" i="16"/>
  <c r="B21" i="15"/>
  <c r="Z120" i="12"/>
  <c r="S33" i="15"/>
  <c r="Y33" i="15" s="1"/>
  <c r="I18" i="16"/>
  <c r="J88" i="12"/>
  <c r="J80" i="12"/>
  <c r="J94" i="12"/>
  <c r="J87" i="12"/>
  <c r="AD99" i="12"/>
  <c r="AF99" i="12" s="1"/>
  <c r="I32" i="15"/>
  <c r="X99" i="12"/>
  <c r="J92" i="12"/>
  <c r="J97" i="12"/>
  <c r="J82" i="12"/>
  <c r="J90" i="12"/>
  <c r="AB99" i="12"/>
  <c r="J91" i="12"/>
  <c r="J83" i="12"/>
  <c r="J98" i="12"/>
  <c r="J95" i="12"/>
  <c r="J96" i="12"/>
  <c r="J93" i="12"/>
  <c r="J84" i="12"/>
  <c r="J85" i="12"/>
  <c r="I42" i="11"/>
  <c r="J16" i="12"/>
  <c r="F122" i="12" l="1"/>
  <c r="I113" i="11"/>
  <c r="S41" i="15"/>
  <c r="B122" i="12"/>
  <c r="B180" i="12" s="1"/>
  <c r="B54" i="16"/>
  <c r="I65" i="16"/>
  <c r="I92" i="11"/>
  <c r="I52" i="16"/>
  <c r="AA35" i="15"/>
  <c r="AC35" i="15"/>
  <c r="AE35" i="15" s="1"/>
  <c r="I101" i="12"/>
  <c r="AB101" i="12" s="1"/>
  <c r="W24" i="15"/>
  <c r="D110" i="11"/>
  <c r="D114" i="11" s="1"/>
  <c r="J60" i="12"/>
  <c r="I36" i="16"/>
  <c r="I20" i="15"/>
  <c r="AC20" i="15" s="1"/>
  <c r="AE20" i="15" s="1"/>
  <c r="AA24" i="15"/>
  <c r="AA25" i="15" s="1"/>
  <c r="J34" i="12"/>
  <c r="AC31" i="15"/>
  <c r="AE31" i="15" s="1"/>
  <c r="J65" i="12"/>
  <c r="J62" i="12"/>
  <c r="J58" i="12"/>
  <c r="W31" i="15"/>
  <c r="N78" i="2"/>
  <c r="J63" i="12"/>
  <c r="J59" i="12"/>
  <c r="J56" i="12"/>
  <c r="J75" i="12"/>
  <c r="J74" i="12"/>
  <c r="J70" i="12"/>
  <c r="J67" i="12"/>
  <c r="J72" i="12"/>
  <c r="J57" i="12"/>
  <c r="J54" i="12"/>
  <c r="AD76" i="12"/>
  <c r="AF76" i="12" s="1"/>
  <c r="J64" i="12"/>
  <c r="J68" i="12"/>
  <c r="J69" i="12"/>
  <c r="J66" i="12"/>
  <c r="X76" i="12"/>
  <c r="AB76" i="12"/>
  <c r="J73" i="12"/>
  <c r="J61" i="12"/>
  <c r="J55" i="12"/>
  <c r="J23" i="12"/>
  <c r="J99" i="12"/>
  <c r="I21" i="15"/>
  <c r="B7" i="16"/>
  <c r="B27" i="15"/>
  <c r="J51" i="12"/>
  <c r="D120" i="12"/>
  <c r="D122" i="12" s="1"/>
  <c r="D17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X36" i="12"/>
  <c r="AB36" i="12"/>
  <c r="AD36" i="12"/>
  <c r="AF36" i="12" s="1"/>
  <c r="I54" i="16" l="1"/>
  <c r="J101" i="12"/>
  <c r="AD101" i="12"/>
  <c r="X101" i="12"/>
  <c r="I110" i="11"/>
  <c r="I114" i="11" s="1"/>
  <c r="W20" i="15"/>
  <c r="AA20" i="15"/>
  <c r="I120" i="12"/>
  <c r="I122" i="12" s="1"/>
  <c r="P81" i="2"/>
  <c r="Q81" i="2" s="1"/>
  <c r="N289" i="2"/>
  <c r="P289" i="2" s="1"/>
  <c r="Q289" i="2" s="1"/>
  <c r="J76" i="12"/>
  <c r="P78" i="2"/>
  <c r="Q78" i="2" s="1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X120" i="12" l="1"/>
  <c r="AB12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<sst xmlns="http://schemas.openxmlformats.org/spreadsheetml/2006/main" count="1227" uniqueCount="549">
  <si>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</si>
  <si>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</si>
  <si>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</si>
  <si>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</si>
  <si>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</si>
  <si>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</si>
  <si>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</si>
  <si>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</si>
  <si>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</si>
  <si>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</si>
  <si>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</si>
  <si>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</si>
  <si>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</si>
  <si>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</si>
  <si>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</si>
  <si>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</si>
  <si>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</si>
  <si>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</si>
  <si>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</si>
  <si>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</si>
  <si>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</si>
  <si>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</si>
  <si>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</si>
  <si>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</si>
  <si>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</si>
  <si>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</si>
  <si>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</si>
  <si>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</si>
  <si>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</si>
  <si>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</si>
  <si>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</si>
  <si>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</si>
  <si>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</si>
  <si>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</si>
  <si>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</si>
  <si>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</si>
  <si>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</si>
  <si>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</si>
  <si>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</si>
  <si>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</si>
  <si>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</si>
  <si>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</si>
  <si>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</si>
  <si>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</si>
  <si>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</si>
  <si>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</si>
  <si>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</si>
  <si>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</si>
  <si>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</si>
  <si>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</si>
  <si>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</si>
  <si>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</si>
  <si>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</si>
  <si>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</si>
  <si>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</si>
  <si>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</si>
  <si>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</si>
  <si>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</si>
  <si>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</si>
  <si>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</si>
  <si>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</si>
  <si>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</si>
  <si>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</si>
  <si>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</si>
  <si>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</si>
  <si>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</si>
  <si>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</si>
  <si>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</si>
  <si>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</si>
  <si>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</si>
  <si>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</si>
  <si>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</si>
  <si>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</si>
  <si>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</si>
  <si>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</si>
  <si>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</si>
  <si>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</si>
  <si>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</si>
  <si>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</si>
  <si>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</si>
  <si>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</si>
  <si>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</si>
  <si>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</si>
  <si>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</si>
  <si>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</si>
  <si>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</si>
  <si>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</si>
  <si>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</si>
  <si>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</si>
  <si>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</si>
  <si>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</si>
  <si>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</si>
  <si>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</si>
  <si>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</si>
  <si>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</si>
  <si>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</si>
  <si>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</si>
  <si>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</si>
  <si>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</si>
  <si>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</si>
  <si>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</si>
  <si>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</si>
  <si>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</si>
  <si>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</si>
  <si>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</si>
  <si>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</si>
  <si>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</si>
  <si>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</si>
  <si>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</si>
  <si>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</si>
  <si>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</si>
  <si>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</si>
  <si>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</si>
  <si>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</si>
  <si>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</si>
  <si>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</si>
  <si>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</si>
  <si>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</si>
  <si>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</si>
  <si>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</si>
  <si>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</si>
  <si>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</si>
  <si>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</si>
  <si>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</si>
  <si>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</si>
  <si>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</si>
  <si>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</si>
  <si>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</si>
  <si>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</si>
  <si>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</si>
  <si>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</si>
  <si>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</si>
  <si>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</si>
  <si>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</si>
  <si>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</si>
  <si>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</si>
  <si>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</si>
  <si>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</si>
  <si>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</si>
  <si>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</si>
  <si>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</si>
  <si>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</si>
  <si>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</si>
  <si>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</si>
  <si>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</si>
  <si>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</si>
  <si>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</si>
  <si>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</si>
  <si>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</si>
  <si>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</si>
  <si>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</si>
  <si>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</si>
  <si>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</si>
  <si>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</si>
  <si>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</si>
  <si>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</si>
  <si>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</si>
  <si>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</si>
  <si>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</si>
  <si>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</si>
  <si>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</si>
  <si>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</si>
  <si>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</si>
  <si>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</si>
  <si>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</si>
  <si>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</si>
  <si>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</si>
  <si>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</si>
  <si>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</si>
  <si>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</si>
  <si>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</si>
  <si>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</si>
  <si>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</si>
  <si>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</si>
  <si>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</si>
  <si>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</si>
  <si>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</si>
  <si>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</si>
  <si>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</si>
  <si>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</si>
  <si>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</si>
  <si>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</si>
  <si>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</si>
  <si>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</si>
  <si>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</si>
  <si>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</si>
  <si>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</si>
  <si>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</si>
  <si>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</si>
  <si>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</si>
  <si>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</si>
  <si>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</si>
  <si>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</si>
  <si>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</si>
  <si>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</si>
  <si>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</si>
  <si>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</si>
  <si>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</si>
  <si>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</si>
  <si>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</si>
  <si>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</si>
  <si>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</si>
  <si>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</si>
  <si>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</si>
  <si>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</si>
  <si>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</si>
  <si>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</si>
  <si>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</si>
  <si>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</si>
  <si>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</si>
  <si>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</si>
  <si>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</si>
  <si>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</si>
  <si>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</si>
  <si>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</si>
  <si>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</si>
  <si>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</si>
  <si>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</si>
  <si>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</si>
  <si>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</si>
  <si>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</si>
  <si>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</si>
  <si>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</si>
  <si>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</si>
  <si>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</si>
  <si>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</si>
  <si>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</si>
  <si>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</si>
  <si>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</si>
  <si>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</si>
  <si>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</si>
  <si>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</si>
  <si>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</si>
  <si>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</si>
  <si>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</si>
  <si>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</si>
  <si>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</si>
  <si>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</si>
  <si>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</si>
  <si>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</si>
  <si>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</si>
  <si>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</si>
  <si>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</si>
  <si>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</si>
  <si>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</si>
  <si>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</si>
  <si>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</si>
  <si>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</si>
  <si>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</si>
  <si>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</si>
  <si>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</si>
  <si>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</si>
  <si>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</si>
  <si>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</si>
  <si>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</si>
  <si>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</si>
  <si>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</si>
  <si>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</si>
  <si>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</si>
  <si>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</si>
  <si>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</si>
  <si>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</si>
  <si>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</si>
  <si>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</si>
  <si>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</si>
  <si>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</si>
  <si>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</si>
  <si>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</si>
  <si>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</si>
  <si>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</si>
  <si>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</si>
  <si>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</si>
  <si>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</si>
  <si>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</si>
  <si>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</si>
  <si>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</si>
  <si>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</si>
  <si>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</si>
  <si>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</si>
  <si>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</si>
  <si>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</si>
  <si>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</si>
  <si>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</si>
  <si>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</si>
  <si>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</si>
  <si>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</si>
  <si>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</si>
  <si>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</si>
  <si>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</si>
  <si>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</si>
  <si>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</si>
  <si>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</si>
  <si>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</si>
  <si>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</si>
  <si>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</si>
  <si>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</si>
  <si>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</si>
  <si>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</si>
  <si>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</si>
  <si>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</si>
  <si>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</si>
  <si>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</si>
  <si>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</si>
  <si>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</si>
  <si>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</si>
  <si>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</si>
  <si>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</si>
  <si>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</si>
  <si>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</si>
  <si>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</si>
  <si>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</si>
  <si>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</si>
  <si>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</si>
  <si>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</si>
  <si>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</si>
  <si>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</si>
  <si>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</si>
  <si>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</si>
  <si>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</si>
  <si>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</si>
  <si>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</si>
  <si>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</si>
  <si>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</si>
  <si>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</si>
  <si>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</si>
  <si>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</si>
  <si>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</si>
  <si>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</si>
  <si>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</si>
  <si>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</si>
  <si>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</si>
  <si>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</si>
  <si>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</si>
  <si>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</si>
  <si>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</si>
  <si>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</si>
  <si>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</si>
  <si>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</si>
  <si>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</si>
  <si>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</si>
  <si>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</si>
  <si>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</si>
  <si>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</si>
  <si>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</si>
  <si>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</si>
  <si>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</si>
  <si>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</si>
  <si>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</si>
  <si>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</si>
  <si>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</si>
  <si>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</si>
  <si>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</si>
  <si>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</si>
  <si>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</si>
  <si>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</si>
  <si>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</si>
  <si>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</si>
  <si>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</si>
  <si>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</si>
  <si>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</si>
  <si>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</si>
  <si>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</si>
  <si>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</si>
  <si>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</si>
  <si>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</si>
  <si>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</si>
  <si>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</si>
  <si>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</si>
  <si>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</si>
  <si>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</si>
  <si>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</si>
  <si>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</si>
  <si>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</si>
  <si>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</si>
  <si>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</si>
  <si>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</si>
  <si>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</si>
  <si>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</si>
  <si>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</si>
  <si>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</si>
  <si>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</si>
  <si>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</si>
  <si>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</si>
  <si>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</si>
  <si>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</si>
  <si>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</si>
  <si>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</si>
  <si>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</si>
  <si>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</si>
  <si>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</si>
  <si>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</si>
  <si>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</si>
  <si>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</si>
  <si>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</si>
  <si>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</si>
  <si>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</si>
  <si>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</si>
  <si>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</si>
  <si>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</si>
  <si>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</si>
  <si>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</si>
  <si>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</si>
  <si>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</si>
  <si>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</si>
  <si>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</si>
  <si>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</si>
  <si>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</si>
  <si>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</si>
  <si>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</si>
  <si>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</si>
  <si>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</si>
  <si>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</si>
  <si>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</si>
  <si>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</si>
  <si>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</si>
  <si>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</si>
  <si>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</si>
  <si>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</si>
  <si>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</si>
  <si>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</si>
  <si>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</si>
  <si>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</si>
  <si>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</si>
  <si>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</si>
  <si>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</si>
  <si>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</si>
  <si>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</si>
  <si>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</si>
  <si>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</si>
  <si>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</si>
  <si>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</si>
  <si>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</si>
  <si>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</si>
  <si>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</si>
  <si>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</si>
  <si>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</si>
  <si>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</si>
  <si>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</si>
  <si>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</si>
  <si>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</si>
  <si>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</si>
  <si>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</si>
  <si>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</si>
  <si>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</si>
  <si>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</si>
  <si>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</si>
  <si>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</si>
  <si>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</si>
  <si>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</si>
  <si>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</si>
  <si>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</si>
  <si>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</si>
  <si>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</si>
  <si>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</si>
  <si>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</si>
  <si>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</si>
  <si>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</si>
  <si>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</si>
  <si>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</si>
  <si>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</si>
  <si>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</si>
  <si>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</si>
  <si>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</si>
  <si>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</si>
  <si>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</si>
  <si>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</si>
  <si>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</si>
  <si>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</si>
  <si>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</si>
  <si>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</si>
  <si>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</si>
  <si>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</si>
  <si>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</si>
  <si>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</si>
  <si>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</si>
  <si>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</si>
  <si>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</si>
  <si>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</si>
  <si>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</si>
  <si>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</si>
  <si>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</si>
  <si>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</si>
  <si>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</si>
  <si>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</si>
  <si>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</si>
  <si>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</si>
  <si>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</si>
  <si>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</si>
  <si>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</si>
  <si>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</si>
  <si>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</si>
  <si>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</si>
  <si>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</si>
  <si>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</si>
  <si>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</si>
  <si>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</si>
  <si>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</si>
  <si>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</si>
  <si>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</si>
  <si>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</si>
  <si>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</si>
  <si>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</si>
  <si>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</si>
  <si>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</si>
  <si>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</si>
  <si>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</si>
  <si>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</si>
  <si>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</si>
  <si>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 xml:space="preserve">      2230 - Accrued Payroll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</si>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</sst>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44" fontId="1" fillId="0" borderId="0" xfId="2"/>
    <xf numFmtId="17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1" fillId="0" borderId="2" xfId="2" applyBorder="1"/>
    <xf numFmtId="8" fontId="1" fillId="0" borderId="0" xfId="2" applyNumberFormat="1"/>
    <xf numFmtId="44" fontId="1" fillId="0" borderId="0" xfId="3" applyNumberFormat="1"/>
    <xf numFmtId="44" fontId="3" fillId="0" borderId="0" xfId="2" applyFont="1"/>
    <xf numFmtId="44" fontId="4" fillId="0" borderId="0" xfId="2" applyFont="1"/>
    <xf numFmtId="44" fontId="1" fillId="2" borderId="3" xfId="2" applyFill="1" applyBorder="1"/>
    <xf numFmtId="10" fontId="1" fillId="0" borderId="0" xfId="3" applyNumberFormat="1"/>
    <xf numFmtId="44" fontId="0" fillId="0" borderId="0" xfId="0" applyNumberFormat="1"/>
    <xf numFmtId="44" fontId="1" fillId="2" borderId="4" xfId="2" applyFill="1" applyBorder="1"/>
    <xf numFmtId="44" fontId="5" fillId="0" borderId="0" xfId="2" applyFont="1"/>
    <xf numFmtId="44" fontId="1" fillId="0" borderId="5" xfId="2" applyBorder="1"/>
    <xf numFmtId="44" fontId="4" fillId="0" borderId="6" xfId="2" applyFont="1" applyBorder="1"/>
    <xf numFmtId="44" fontId="4" fillId="0" borderId="2" xfId="2" applyFont="1" applyBorder="1"/>
    <xf numFmtId="44" fontId="4" fillId="0" borderId="5" xfId="2" applyFont="1" applyBorder="1"/>
    <xf numFmtId="44" fontId="1" fillId="0" borderId="7" xfId="2" applyBorder="1"/>
    <xf numFmtId="0" fontId="0" fillId="0" borderId="8" xfId="0" applyBorder="1"/>
    <xf numFmtId="44" fontId="0" fillId="0" borderId="9" xfId="0" applyNumberFormat="1" applyBorder="1"/>
    <xf numFmtId="44" fontId="1" fillId="0" borderId="10" xfId="2" applyBorder="1"/>
    <xf numFmtId="0" fontId="0" fillId="0" borderId="9" xfId="0" applyBorder="1"/>
    <xf numFmtId="44" fontId="1" fillId="0" borderId="3" xfId="2" applyBorder="1"/>
    <xf numFmtId="44" fontId="1" fillId="0" borderId="11" xfId="2" applyBorder="1"/>
    <xf numFmtId="44" fontId="1" fillId="0" borderId="12" xfId="2" applyBorder="1"/>
    <xf numFmtId="0" fontId="0" fillId="0" borderId="13" xfId="0" applyBorder="1"/>
    <xf numFmtId="0" fontId="0" fillId="0" borderId="12" xfId="0" applyBorder="1"/>
    <xf numFmtId="0" fontId="2" fillId="0" borderId="0" xfId="0" applyFont="1"/>
    <xf numFmtId="44" fontId="2" fillId="0" borderId="3" xfId="2" applyFont="1" applyBorder="1"/>
    <xf numFmtId="44" fontId="1" fillId="3" borderId="0" xfId="2" applyFill="1"/>
    <xf numFmtId="8" fontId="1" fillId="3" borderId="0" xfId="2" applyNumberFormat="1" applyFill="1"/>
    <xf numFmtId="43" fontId="1" fillId="3" borderId="0" xfId="1" applyFill="1"/>
    <xf numFmtId="44" fontId="2" fillId="0" borderId="5" xfId="2" applyFont="1" applyBorder="1"/>
    <xf numFmtId="44" fontId="2" fillId="0" borderId="3" xfId="0" applyNumberFormat="1" applyFont="1" applyBorder="1"/>
    <xf numFmtId="43" fontId="1" fillId="0" borderId="0" xfId="1"/>
    <xf numFmtId="0" fontId="0" fillId="0" borderId="0" xfId="0" applyAlignment="1">
      <alignment horizontal="center"/>
    </xf>
    <xf numFmtId="43" fontId="1" fillId="0" borderId="2" xfId="1" applyBorder="1"/>
    <xf numFmtId="43" fontId="1" fillId="0" borderId="14" xfId="1" applyBorder="1"/>
    <xf numFmtId="43" fontId="1" fillId="0" borderId="3" xfId="1" applyBorder="1"/>
    <xf numFmtId="43" fontId="2" fillId="0" borderId="0" xfId="1" applyFont="1" applyAlignment="1">
      <alignment horizontal="center"/>
    </xf>
    <xf numFmtId="0" fontId="6" fillId="0" borderId="0" xfId="0" applyFont="1"/>
    <xf numFmtId="43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43" fontId="8" fillId="0" borderId="0" xfId="0" applyNumberFormat="1" applyFont="1"/>
    <xf numFmtId="10" fontId="8" fillId="0" borderId="0" xfId="3" applyNumberFormat="1" applyFont="1" applyAlignment="1">
      <alignment horizontal="center"/>
    </xf>
    <xf numFmtId="43" fontId="8" fillId="0" borderId="2" xfId="0" applyNumberFormat="1" applyFont="1" applyBorder="1"/>
    <xf numFmtId="10" fontId="8" fillId="0" borderId="2" xfId="3" applyNumberFormat="1" applyFont="1" applyBorder="1" applyAlignment="1">
      <alignment horizontal="center"/>
    </xf>
    <xf numFmtId="9" fontId="8" fillId="0" borderId="0" xfId="3" applyFont="1" applyAlignment="1">
      <alignment horizontal="center"/>
    </xf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/>
    <xf numFmtId="43" fontId="9" fillId="0" borderId="2" xfId="0" applyNumberFormat="1" applyFont="1" applyBorder="1"/>
    <xf numFmtId="43" fontId="9" fillId="0" borderId="14" xfId="0" applyNumberFormat="1" applyFont="1" applyBorder="1"/>
    <xf numFmtId="43" fontId="10" fillId="0" borderId="3" xfId="0" applyNumberFormat="1" applyFont="1" applyBorder="1"/>
    <xf numFmtId="43" fontId="7" fillId="0" borderId="0" xfId="0" applyNumberFormat="1" applyFont="1"/>
    <xf numFmtId="43" fontId="9" fillId="0" borderId="6" xfId="0" applyNumberFormat="1" applyFont="1" applyBorder="1"/>
    <xf numFmtId="43" fontId="1" fillId="0" borderId="6" xfId="1" applyBorder="1"/>
    <xf numFmtId="164" fontId="1" fillId="0" borderId="0" xfId="1" applyNumberFormat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2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43" fontId="15" fillId="0" borderId="0" xfId="0" applyNumberFormat="1" applyFont="1"/>
    <xf numFmtId="10" fontId="15" fillId="0" borderId="0" xfId="3" applyNumberFormat="1" applyFont="1" applyAlignment="1">
      <alignment horizontal="center"/>
    </xf>
    <xf numFmtId="43" fontId="15" fillId="0" borderId="2" xfId="0" applyNumberFormat="1" applyFont="1" applyBorder="1"/>
    <xf numFmtId="10" fontId="15" fillId="0" borderId="2" xfId="3" applyNumberFormat="1" applyFont="1" applyBorder="1" applyAlignment="1">
      <alignment horizontal="center"/>
    </xf>
    <xf numFmtId="43" fontId="15" fillId="0" borderId="14" xfId="0" applyNumberFormat="1" applyFont="1" applyBorder="1"/>
    <xf numFmtId="43" fontId="15" fillId="0" borderId="0" xfId="3" applyNumberFormat="1" applyFont="1" applyAlignment="1">
      <alignment horizontal="center"/>
    </xf>
    <xf numFmtId="44" fontId="1" fillId="4" borderId="0" xfId="2" applyFill="1"/>
    <xf numFmtId="0" fontId="1" fillId="0" borderId="0" xfId="0" applyFont="1"/>
    <xf numFmtId="165" fontId="1" fillId="0" borderId="0" xfId="0" applyNumberFormat="1" applyFont="1"/>
    <xf numFmtId="44" fontId="1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43" fontId="24" fillId="0" borderId="3" xfId="0" applyNumberFormat="1" applyFont="1" applyBorder="1"/>
    <xf numFmtId="0" fontId="24" fillId="0" borderId="0" xfId="0" applyFont="1"/>
    <xf numFmtId="43" fontId="0" fillId="0" borderId="0" xfId="1" applyFont="1"/>
    <xf numFmtId="44" fontId="0" fillId="0" borderId="0" xfId="2" applyFont="1"/>
    <xf numFmtId="0" fontId="4" fillId="0" borderId="0" xfId="0" applyFont="1" applyAlignment="1">
      <alignment vertical="top"/>
    </xf>
    <xf numFmtId="44" fontId="1" fillId="0" borderId="4" xfId="2" applyBorder="1"/>
    <xf numFmtId="43" fontId="15" fillId="0" borderId="0" xfId="1" applyFont="1" applyAlignment="1">
      <alignment horizontal="center"/>
    </xf>
    <xf numFmtId="43" fontId="15" fillId="0" borderId="0" xfId="1" applyFont="1" applyAlignment="1">
      <alignment horizontal="left"/>
    </xf>
    <xf numFmtId="0" fontId="25" fillId="0" borderId="0" xfId="0" applyFont="1"/>
    <xf numFmtId="43" fontId="15" fillId="0" borderId="0" xfId="1" applyFont="1"/>
    <xf numFmtId="43" fontId="15" fillId="0" borderId="3" xfId="1" applyFont="1" applyBorder="1"/>
    <xf numFmtId="0" fontId="15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9" fontId="15" fillId="0" borderId="0" xfId="3" applyFont="1" applyAlignment="1">
      <alignment horizontal="center"/>
    </xf>
    <xf numFmtId="10" fontId="15" fillId="0" borderId="14" xfId="3" applyNumberFormat="1" applyFont="1" applyBorder="1" applyAlignment="1">
      <alignment horizontal="center"/>
    </xf>
    <xf numFmtId="43" fontId="22" fillId="0" borderId="0" xfId="0" applyNumberFormat="1" applyFont="1"/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24" fillId="0" borderId="5" xfId="0" applyNumberFormat="1" applyFont="1" applyBorder="1"/>
    <xf numFmtId="0" fontId="11" fillId="0" borderId="0" xfId="0" applyFont="1" applyAlignment="1">
      <alignment horizontal="center"/>
    </xf>
    <xf numFmtId="0" fontId="15" fillId="5" borderId="0" xfId="0" applyFont="1" applyFill="1"/>
    <xf numFmtId="0" fontId="16" fillId="5" borderId="0" xfId="0" applyFont="1" applyFill="1" applyAlignment="1">
      <alignment horizontal="center"/>
    </xf>
    <xf numFmtId="0" fontId="16" fillId="5" borderId="0" xfId="0" applyFont="1" applyFill="1" applyAlignment="1">
      <alignment vertical="center"/>
    </xf>
    <xf numFmtId="0" fontId="16" fillId="5" borderId="6" xfId="0" applyFont="1" applyFill="1" applyBorder="1" applyAlignment="1">
      <alignment horizontal="center"/>
    </xf>
    <xf numFmtId="43" fontId="15" fillId="5" borderId="0" xfId="0" applyNumberFormat="1" applyFont="1" applyFill="1"/>
    <xf numFmtId="43" fontId="15" fillId="5" borderId="2" xfId="0" applyNumberFormat="1" applyFont="1" applyFill="1" applyBorder="1"/>
    <xf numFmtId="43" fontId="15" fillId="5" borderId="14" xfId="0" applyNumberFormat="1" applyFont="1" applyFill="1" applyBorder="1"/>
    <xf numFmtId="43" fontId="24" fillId="5" borderId="3" xfId="0" applyNumberFormat="1" applyFont="1" applyFill="1" applyBorder="1"/>
    <xf numFmtId="43" fontId="15" fillId="5" borderId="0" xfId="1" applyFont="1" applyFill="1"/>
    <xf numFmtId="43" fontId="0" fillId="5" borderId="0" xfId="1" applyFont="1" applyFill="1"/>
    <xf numFmtId="43" fontId="15" fillId="5" borderId="3" xfId="1" applyFont="1" applyFill="1" applyBorder="1"/>
    <xf numFmtId="0" fontId="4" fillId="2" borderId="0" xfId="0" applyFont="1" applyFill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Rose%20Work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C20" sqref="C20"/>
      <selection pane="bottomLeft" activeCell="D70" sqref="D70"/>
    </sheetView>
  </sheetViews>
  <sheetFormatPr defaultRowHeight="14.4" x14ac:dyDescent="0.3"/>
  <cols>
    <col min="1" max="1" width="47" bestFit="1" customWidth="1"/>
    <col min="2" max="2" width="23.44140625" bestFit="1" customWidth="1"/>
    <col min="3" max="3" width="19.6640625" bestFit="1" customWidth="1"/>
    <col min="4" max="8" width="18.6640625" customWidth="1"/>
    <col min="9" max="9" width="23.44140625" bestFit="1" customWidth="1"/>
    <col min="12" max="12" width="16.88671875" style="35" bestFit="1" customWidth="1"/>
  </cols>
  <sheetData>
    <row r="1" spans="1:12" ht="25.8" x14ac:dyDescent="0.5">
      <c r="A1" s="131" t="s">
        <v>330</v>
      </c>
      <c r="B1" s="131"/>
      <c r="C1" s="131"/>
      <c r="D1" s="131"/>
      <c r="E1" s="131"/>
      <c r="F1" s="131"/>
      <c r="G1" s="131"/>
      <c r="H1" s="131"/>
      <c r="I1" s="131"/>
    </row>
    <row r="2" spans="1:12" ht="25.8" x14ac:dyDescent="0.5">
      <c r="A2" s="131" t="s">
        <v>329</v>
      </c>
      <c r="B2" s="131"/>
      <c r="C2" s="131"/>
      <c r="D2" s="131"/>
      <c r="E2" s="131"/>
      <c r="F2" s="131"/>
      <c r="G2" s="131"/>
      <c r="H2" s="131"/>
      <c r="I2" s="131"/>
    </row>
    <row r="3" spans="1:12" ht="25.8" x14ac:dyDescent="0.5">
      <c r="A3" s="131" t="s">
        <v>265</v>
      </c>
      <c r="B3" s="131"/>
      <c r="C3" s="131"/>
      <c r="D3" s="131"/>
      <c r="E3" s="131"/>
      <c r="F3" s="131"/>
      <c r="G3" s="131"/>
      <c r="H3" s="131"/>
      <c r="I3" s="131"/>
    </row>
    <row r="4" spans="1:12" ht="25.8" x14ac:dyDescent="0.5">
      <c r="A4" s="132">
        <v>43465</v>
      </c>
      <c r="B4" s="133"/>
      <c r="C4" s="133"/>
      <c r="D4" s="133"/>
      <c r="E4" s="133"/>
      <c r="F4" s="133"/>
      <c r="G4" s="133"/>
      <c r="H4" s="133"/>
      <c r="I4" s="133"/>
    </row>
    <row r="6" spans="1:12" s="60" customFormat="1" ht="30" customHeight="1" x14ac:dyDescent="0.35">
      <c r="B6" s="61" t="s">
        <v>212</v>
      </c>
      <c r="C6" s="61" t="s">
        <v>214</v>
      </c>
      <c r="D6" s="61" t="s">
        <v>213</v>
      </c>
      <c r="E6" s="61" t="s">
        <v>215</v>
      </c>
      <c r="F6" s="61" t="s">
        <v>216</v>
      </c>
      <c r="G6" s="61" t="s">
        <v>408</v>
      </c>
      <c r="H6" s="61" t="s">
        <v>419</v>
      </c>
      <c r="I6" s="61" t="s">
        <v>207</v>
      </c>
      <c r="L6" s="62"/>
    </row>
    <row r="7" spans="1:12" s="60" customFormat="1" ht="39.9" customHeight="1" x14ac:dyDescent="0.35">
      <c r="A7" s="63" t="s">
        <v>62</v>
      </c>
      <c r="B7" s="65">
        <f>'Comp Summary YTD 2018-2017 Dec'!B21</f>
        <v>4686293475.8800011</v>
      </c>
      <c r="C7" s="65">
        <f>'Comp Summary YTD 2018-2017 Dec'!C21</f>
        <v>86614328.930000007</v>
      </c>
      <c r="D7" s="65">
        <f>'Comp Summary YTD 2018-2017 Dec'!D21</f>
        <v>3620725.9899999998</v>
      </c>
      <c r="E7" s="65">
        <f>'Comp Summary YTD 2018-2017 Dec'!E21</f>
        <v>0</v>
      </c>
      <c r="F7" s="65">
        <f>'Comp Summary YTD 2018-2017 Dec'!F21</f>
        <v>792870.54000000015</v>
      </c>
      <c r="G7" s="65">
        <f>'Comp Summary YTD 2018-2017 Dec'!G21</f>
        <v>0</v>
      </c>
      <c r="H7" s="65">
        <f>'Comp Summary YTD 2018-2017 Dec'!H21</f>
        <v>0</v>
      </c>
      <c r="I7" s="65">
        <f>SUM(B7:H7)</f>
        <v>4777321401.3400011</v>
      </c>
      <c r="L7" s="62"/>
    </row>
    <row r="8" spans="1:12" s="60" customFormat="1" ht="39.9" customHeight="1" x14ac:dyDescent="0.35">
      <c r="B8" s="64"/>
      <c r="C8" s="64"/>
      <c r="D8" s="64"/>
      <c r="E8" s="64"/>
      <c r="F8" s="64"/>
      <c r="G8" s="64"/>
      <c r="H8" s="64"/>
      <c r="I8" s="64"/>
      <c r="L8" s="62"/>
    </row>
    <row r="9" spans="1:12" s="60" customFormat="1" ht="39.9" customHeight="1" x14ac:dyDescent="0.35">
      <c r="A9" s="63" t="s">
        <v>224</v>
      </c>
      <c r="B9" s="69">
        <f>'Comp Summary YTD 2018-2017 Dec'!B25</f>
        <v>4680737941.9499998</v>
      </c>
      <c r="C9" s="69">
        <f>'Comp Summary YTD 2018-2017 Dec'!C25</f>
        <v>85329679.289999992</v>
      </c>
      <c r="D9" s="69">
        <f>'Comp Summary YTD 2018-2017 Dec'!D25</f>
        <v>519827.81000000006</v>
      </c>
      <c r="E9" s="69">
        <f>'Comp Summary YTD 2018-2017 Dec'!E25</f>
        <v>0</v>
      </c>
      <c r="F9" s="69">
        <f>'Comp Summary YTD 2018-2017 Dec'!F25</f>
        <v>1929.4099999999999</v>
      </c>
      <c r="G9" s="69">
        <f>'Comp Summary YTD 2018-2017 Dec'!G25</f>
        <v>0</v>
      </c>
      <c r="H9" s="69">
        <f>'Comp Summary YTD 2018-2017 Dec'!H25</f>
        <v>0</v>
      </c>
      <c r="I9" s="69">
        <f>SUM(B9:H9)</f>
        <v>4766589378.46</v>
      </c>
      <c r="L9" s="62"/>
    </row>
    <row r="10" spans="1:12" s="60" customFormat="1" ht="39.9" customHeight="1" x14ac:dyDescent="0.35">
      <c r="B10" s="64"/>
      <c r="C10" s="64"/>
      <c r="D10" s="64"/>
      <c r="E10" s="64"/>
      <c r="F10" s="64"/>
      <c r="G10" s="64"/>
      <c r="H10" s="64"/>
      <c r="I10" s="64"/>
      <c r="L10" s="62"/>
    </row>
    <row r="11" spans="1:12" s="60" customFormat="1" ht="39.9" customHeight="1" thickBot="1" x14ac:dyDescent="0.4">
      <c r="A11" s="63" t="s">
        <v>211</v>
      </c>
      <c r="B11" s="66">
        <f t="shared" ref="B11:H11" si="0">B7-B9</f>
        <v>5555533.9300012589</v>
      </c>
      <c r="C11" s="66">
        <f t="shared" si="0"/>
        <v>1284649.6400000155</v>
      </c>
      <c r="D11" s="66">
        <f t="shared" si="0"/>
        <v>3100898.1799999997</v>
      </c>
      <c r="E11" s="66">
        <f t="shared" si="0"/>
        <v>0</v>
      </c>
      <c r="F11" s="66">
        <f t="shared" si="0"/>
        <v>790941.13000000012</v>
      </c>
      <c r="G11" s="66">
        <f>G7-G9</f>
        <v>0</v>
      </c>
      <c r="H11" s="66">
        <f t="shared" si="0"/>
        <v>0</v>
      </c>
      <c r="I11" s="66">
        <f>SUM(B11:H11)</f>
        <v>10732022.880001275</v>
      </c>
      <c r="L11" s="62"/>
    </row>
    <row r="12" spans="1:12" s="60" customFormat="1" ht="30" customHeight="1" x14ac:dyDescent="0.35">
      <c r="B12" s="64"/>
      <c r="C12" s="64"/>
      <c r="D12" s="64"/>
      <c r="E12" s="64"/>
      <c r="F12" s="64"/>
      <c r="G12" s="64"/>
      <c r="H12" s="64"/>
      <c r="I12" s="64"/>
      <c r="L12" s="62"/>
    </row>
    <row r="13" spans="1:12" s="60" customFormat="1" ht="30" customHeight="1" x14ac:dyDescent="0.35">
      <c r="A13" s="63" t="s">
        <v>209</v>
      </c>
      <c r="B13" s="64"/>
      <c r="C13" s="64"/>
      <c r="D13" s="64"/>
      <c r="E13" s="64"/>
      <c r="F13" s="64"/>
      <c r="G13" s="64"/>
      <c r="H13" s="64"/>
      <c r="I13" s="64"/>
      <c r="L13" s="62"/>
    </row>
    <row r="14" spans="1:12" s="60" customFormat="1" ht="30" customHeight="1" x14ac:dyDescent="0.35">
      <c r="B14" s="64"/>
      <c r="C14" s="64"/>
      <c r="D14" s="64"/>
      <c r="E14" s="64"/>
      <c r="F14" s="64"/>
      <c r="G14" s="64"/>
      <c r="H14" s="64"/>
      <c r="I14" s="64"/>
      <c r="L14" s="62"/>
    </row>
    <row r="15" spans="1:12" s="60" customFormat="1" ht="30" customHeight="1" x14ac:dyDescent="0.35">
      <c r="A15" s="63" t="s">
        <v>225</v>
      </c>
      <c r="B15" s="64"/>
      <c r="C15" s="64"/>
      <c r="D15" s="64"/>
      <c r="E15" s="64"/>
      <c r="F15" s="64"/>
      <c r="G15" s="64"/>
      <c r="H15" s="64"/>
      <c r="I15" s="64"/>
      <c r="L15" s="62"/>
    </row>
    <row r="16" spans="1:12" s="60" customFormat="1" ht="30" customHeight="1" x14ac:dyDescent="0.35">
      <c r="A16" s="60" t="s">
        <v>226</v>
      </c>
      <c r="B16" s="64">
        <f>'Summary YTD 12.31.18'!B32+'Comp YTD 2018-2017 Dec'!B42</f>
        <v>2607028.5299999998</v>
      </c>
      <c r="C16" s="64">
        <f>'Summary YTD 12.31.18'!C32</f>
        <v>701959.7</v>
      </c>
      <c r="D16" s="64">
        <f>'Summary YTD 12.31.18'!D32</f>
        <v>848837.41</v>
      </c>
      <c r="E16" s="64">
        <f>'Summary YTD 12.31.18'!E32</f>
        <v>0</v>
      </c>
      <c r="F16" s="64">
        <f>'Summary YTD 12.31.18'!F32+'Comp YTD 2018-2017 Dec'!F42</f>
        <v>320312.45999999996</v>
      </c>
      <c r="G16" s="64">
        <f>'Summary YTD 12.31.18'!G32</f>
        <v>0</v>
      </c>
      <c r="H16" s="64">
        <f>'Summary YTD 12.31.18'!H32</f>
        <v>0</v>
      </c>
      <c r="I16" s="64">
        <f>SUM(B16:H16)</f>
        <v>4478138.0999999996</v>
      </c>
      <c r="L16" s="62"/>
    </row>
    <row r="17" spans="1:12" s="60" customFormat="1" ht="30" customHeight="1" x14ac:dyDescent="0.35">
      <c r="A17" s="60" t="s">
        <v>228</v>
      </c>
      <c r="B17" s="64">
        <f>'Summary YTD 12.31.18'!B35</f>
        <v>209770.30999999997</v>
      </c>
      <c r="C17" s="64">
        <f>'Summary YTD 12.31.18'!C35</f>
        <v>55758.57</v>
      </c>
      <c r="D17" s="64">
        <f>'Summary YTD 12.31.18'!D35</f>
        <v>65735.010000000009</v>
      </c>
      <c r="E17" s="64">
        <f>'Summary YTD 12.31.18'!E35</f>
        <v>0</v>
      </c>
      <c r="F17" s="64">
        <f>'Summary YTD 12.31.18'!F35</f>
        <v>20918.280000000002</v>
      </c>
      <c r="G17" s="64">
        <f>'Summary YTD 12.31.18'!G35</f>
        <v>0</v>
      </c>
      <c r="H17" s="64">
        <f>'Summary YTD 12.31.18'!H35</f>
        <v>0</v>
      </c>
      <c r="I17" s="64">
        <f>SUM(B17:H17)</f>
        <v>352182.17</v>
      </c>
      <c r="L17" s="62"/>
    </row>
    <row r="18" spans="1:12" s="60" customFormat="1" ht="30" customHeight="1" x14ac:dyDescent="0.35">
      <c r="A18" s="60" t="s">
        <v>460</v>
      </c>
      <c r="B18" s="64">
        <f>'Summary YTD 12.31.18'!B34+'Summary YTD 12.31.18'!B36+'Summary YTD 12.31.18'!B37+'Summary YTD 12.31.18'!B38+'Summary YTD 12.31.18'!B39+'Summary YTD 12.31.18'!B40+'Summary YTD 12.31.18'!B41</f>
        <v>433141.28</v>
      </c>
      <c r="C18" s="64">
        <f>'Summary YTD 12.31.18'!C34+'Summary YTD 12.31.18'!C36+'Summary YTD 12.31.18'!C37+'Summary YTD 12.31.18'!C38+'Summary YTD 12.31.18'!C39+'Summary YTD 12.31.18'!C40+'Summary YTD 12.31.18'!C41</f>
        <v>69661.33</v>
      </c>
      <c r="D18" s="64">
        <f>'Summary YTD 12.31.18'!D34+'Summary YTD 12.31.18'!D36+'Summary YTD 12.31.18'!D37+'Summary YTD 12.31.18'!D38+'Summary YTD 12.31.18'!D39+'Summary YTD 12.31.18'!D40+'Summary YTD 12.31.18'!D41</f>
        <v>144961.12</v>
      </c>
      <c r="E18" s="64">
        <f>'Summary YTD 12.31.18'!E34+'Summary YTD 12.31.18'!E36+'Summary YTD 12.31.18'!E37+'Summary YTD 12.31.18'!E38+'Summary YTD 12.31.18'!E39+'Summary YTD 12.31.18'!E40+'Summary YTD 12.31.18'!E41</f>
        <v>0</v>
      </c>
      <c r="F18" s="64">
        <f>'Summary YTD 12.31.18'!F34+'Summary YTD 12.31.18'!F36+'Summary YTD 12.31.18'!F37+'Summary YTD 12.31.18'!F38+'Summary YTD 12.31.18'!F39+'Summary YTD 12.31.18'!F40+'Summary YTD 12.31.18'!F41</f>
        <v>71451.47</v>
      </c>
      <c r="G18" s="64">
        <v>0</v>
      </c>
      <c r="H18" s="64">
        <f>'BSC (Dome)'!O24</f>
        <v>0</v>
      </c>
      <c r="I18" s="64">
        <f>SUM(B18:H18)</f>
        <v>719215.2</v>
      </c>
      <c r="L18" s="62"/>
    </row>
    <row r="19" spans="1:12" s="60" customFormat="1" ht="30" customHeight="1" x14ac:dyDescent="0.35">
      <c r="A19" s="63" t="s">
        <v>233</v>
      </c>
      <c r="B19" s="65">
        <f t="shared" ref="B19:H19" si="1">SUM(B16:B18)</f>
        <v>3249940.12</v>
      </c>
      <c r="C19" s="65">
        <f t="shared" si="1"/>
        <v>827379.59999999986</v>
      </c>
      <c r="D19" s="65">
        <f t="shared" si="1"/>
        <v>1059533.54</v>
      </c>
      <c r="E19" s="65">
        <f t="shared" si="1"/>
        <v>0</v>
      </c>
      <c r="F19" s="65">
        <f t="shared" si="1"/>
        <v>412682.20999999996</v>
      </c>
      <c r="G19" s="65">
        <f t="shared" si="1"/>
        <v>0</v>
      </c>
      <c r="H19" s="65">
        <f t="shared" si="1"/>
        <v>0</v>
      </c>
      <c r="I19" s="65">
        <f>SUM(B19:H19)</f>
        <v>5549535.4699999997</v>
      </c>
      <c r="L19" s="62"/>
    </row>
    <row r="20" spans="1:12" s="60" customFormat="1" ht="30" customHeight="1" x14ac:dyDescent="0.35">
      <c r="B20" s="64"/>
      <c r="C20" s="64"/>
      <c r="D20" s="64"/>
      <c r="E20" s="64"/>
      <c r="F20" s="64"/>
      <c r="G20" s="64"/>
      <c r="H20" s="64"/>
      <c r="I20" s="64"/>
      <c r="L20" s="62"/>
    </row>
    <row r="21" spans="1:12" s="60" customFormat="1" ht="30" customHeight="1" x14ac:dyDescent="0.35">
      <c r="A21" s="63" t="s">
        <v>486</v>
      </c>
      <c r="B21" s="64"/>
      <c r="C21" s="64"/>
      <c r="D21" s="64"/>
      <c r="E21" s="64"/>
      <c r="F21" s="64"/>
      <c r="G21" s="64"/>
      <c r="H21" s="64"/>
      <c r="I21" s="64"/>
      <c r="L21" s="62"/>
    </row>
    <row r="22" spans="1:12" s="60" customFormat="1" ht="30" customHeight="1" x14ac:dyDescent="0.35">
      <c r="A22" s="60" t="s">
        <v>234</v>
      </c>
      <c r="B22" s="64">
        <f>'Summary YTD 12.31.18'!B45</f>
        <v>550400</v>
      </c>
      <c r="C22" s="64">
        <f>'Summary YTD 12.31.18'!C45</f>
        <v>60000</v>
      </c>
      <c r="D22" s="64">
        <f>'Summary YTD 12.31.18'!D45</f>
        <v>450000</v>
      </c>
      <c r="E22" s="64">
        <f>'Summary YTD 12.31.18'!E45</f>
        <v>0</v>
      </c>
      <c r="F22" s="64">
        <f>'Summary YTD 12.31.18'!F45</f>
        <v>12000</v>
      </c>
      <c r="G22" s="64">
        <f>'Summary YTD 12.31.18'!G45</f>
        <v>0</v>
      </c>
      <c r="H22" s="64">
        <f>'Summary YTD 12.31.18'!H45</f>
        <v>0</v>
      </c>
      <c r="I22" s="64">
        <f>SUM(B22:H22)</f>
        <v>1072400</v>
      </c>
      <c r="L22" s="62"/>
    </row>
    <row r="23" spans="1:12" s="60" customFormat="1" ht="30" customHeight="1" x14ac:dyDescent="0.35">
      <c r="A23" s="60" t="s">
        <v>289</v>
      </c>
      <c r="B23" s="64">
        <f>'Summary YTD 12.31.18'!B46+'Summary YTD 12.31.18'!B47+'Summary YTD 12.31.18'!B48</f>
        <v>22334.97</v>
      </c>
      <c r="C23" s="64">
        <f>'Summary YTD 12.31.18'!C46+'Summary YTD 12.31.18'!C47+'Summary YTD 12.31.18'!C48</f>
        <v>0</v>
      </c>
      <c r="D23" s="64">
        <f>'Summary YTD 12.31.18'!D46+'Summary YTD 12.31.18'!D47+'Summary YTD 12.31.18'!D48</f>
        <v>82722.490000000005</v>
      </c>
      <c r="E23" s="64">
        <f>'Summary YTD 12.31.18'!E46+'Summary YTD 12.31.18'!E47+'Summary YTD 12.31.18'!E48</f>
        <v>0</v>
      </c>
      <c r="F23" s="64">
        <f>'Summary YTD 12.31.18'!F46+'Summary YTD 12.31.18'!F47+'Summary YTD 12.31.18'!F48</f>
        <v>83774.970000000016</v>
      </c>
      <c r="G23" s="64">
        <f>'Summary YTD 12.31.18'!G46+'Summary YTD 12.31.18'!G47+'Summary YTD 12.31.18'!G48</f>
        <v>0</v>
      </c>
      <c r="H23" s="64">
        <f>'Summary YTD 12.31.18'!H46+'Summary YTD 12.31.18'!H47+'Summary YTD 12.31.18'!H48</f>
        <v>0</v>
      </c>
      <c r="I23" s="64">
        <f t="shared" ref="I23:I35" si="2">SUM(B23:H23)</f>
        <v>188832.43000000002</v>
      </c>
      <c r="L23" s="62"/>
    </row>
    <row r="24" spans="1:12" s="60" customFormat="1" ht="30" customHeight="1" x14ac:dyDescent="0.35">
      <c r="A24" s="60" t="s">
        <v>412</v>
      </c>
      <c r="B24" s="64">
        <f>'Summary YTD 12.31.18'!B49+'Summary YTD 12.31.18'!B50+'Summary YTD 12.31.18'!B51+'Summary YTD 12.31.18'!B52</f>
        <v>183367.93</v>
      </c>
      <c r="C24" s="64">
        <f>'Summary YTD 12.31.18'!C49+'Summary YTD 12.31.18'!C50+'Summary YTD 12.31.18'!C51+'Summary YTD 12.31.18'!C52</f>
        <v>2719.73</v>
      </c>
      <c r="D24" s="64">
        <f>'Summary YTD 12.31.18'!D49+'Summary YTD 12.31.18'!D50+'Summary YTD 12.31.18'!D51+'Summary YTD 12.31.18'!D52</f>
        <v>76840.23</v>
      </c>
      <c r="E24" s="64">
        <f>'Summary YTD 12.31.18'!E49+'Summary YTD 12.31.18'!E50+'Summary YTD 12.31.18'!E51+'Summary YTD 12.31.18'!E52</f>
        <v>0</v>
      </c>
      <c r="F24" s="64">
        <f>'Summary YTD 12.31.18'!F49+'Summary YTD 12.31.18'!F50+'Summary YTD 12.31.18'!F51+'Summary YTD 12.31.18'!F52</f>
        <v>35426.639999999999</v>
      </c>
      <c r="G24" s="64">
        <f>'Summary YTD 12.31.18'!G49+'Summary YTD 12.31.18'!G50+'Summary YTD 12.31.18'!G51+'Summary YTD 12.31.18'!G52</f>
        <v>0</v>
      </c>
      <c r="H24" s="64">
        <f>'Summary YTD 12.31.18'!H49+'Summary YTD 12.31.18'!H50+'Summary YTD 12.31.18'!H51+'Summary YTD 12.31.18'!H52</f>
        <v>0</v>
      </c>
      <c r="I24" s="64">
        <f>SUM(B24:H24)</f>
        <v>298354.53000000003</v>
      </c>
      <c r="L24" s="62"/>
    </row>
    <row r="25" spans="1:12" s="60" customFormat="1" ht="30" customHeight="1" x14ac:dyDescent="0.35">
      <c r="A25" s="60" t="s">
        <v>239</v>
      </c>
      <c r="B25" s="64">
        <f>'Summary YTD 12.31.18'!B53</f>
        <v>107137.28000000001</v>
      </c>
      <c r="C25" s="64">
        <f>'Summary YTD 12.31.18'!C53</f>
        <v>0</v>
      </c>
      <c r="D25" s="64">
        <f>'Summary YTD 12.31.18'!D53</f>
        <v>62935.24000000002</v>
      </c>
      <c r="E25" s="64">
        <f>'Summary YTD 12.31.18'!E53</f>
        <v>0</v>
      </c>
      <c r="F25" s="64">
        <f>'Summary YTD 12.31.18'!F53</f>
        <v>739.67</v>
      </c>
      <c r="G25" s="64">
        <f>'Summary YTD 12.31.18'!G53</f>
        <v>0</v>
      </c>
      <c r="H25" s="64">
        <f>'Summary YTD 12.31.18'!H53</f>
        <v>0</v>
      </c>
      <c r="I25" s="64">
        <f t="shared" si="2"/>
        <v>170812.19000000003</v>
      </c>
      <c r="L25" s="62"/>
    </row>
    <row r="26" spans="1:12" s="60" customFormat="1" ht="30" customHeight="1" x14ac:dyDescent="0.35">
      <c r="A26" s="60" t="s">
        <v>240</v>
      </c>
      <c r="B26" s="64">
        <f>'Summary YTD 12.31.18'!B54</f>
        <v>38009.360000000001</v>
      </c>
      <c r="C26" s="64">
        <f>'Summary YTD 12.31.18'!C54</f>
        <v>0</v>
      </c>
      <c r="D26" s="64">
        <f>'Summary YTD 12.31.18'!D54</f>
        <v>14369.55</v>
      </c>
      <c r="E26" s="64">
        <f>'Summary YTD 12.31.18'!E54</f>
        <v>0</v>
      </c>
      <c r="F26" s="64">
        <f>'Summary YTD 12.31.18'!F54</f>
        <v>0</v>
      </c>
      <c r="G26" s="64">
        <f>'Summary YTD 12.31.18'!G54</f>
        <v>0</v>
      </c>
      <c r="H26" s="64">
        <f>'Summary YTD 12.31.18'!H54</f>
        <v>0</v>
      </c>
      <c r="I26" s="64">
        <f t="shared" si="2"/>
        <v>52378.91</v>
      </c>
      <c r="L26" s="62"/>
    </row>
    <row r="27" spans="1:12" s="60" customFormat="1" ht="30" customHeight="1" x14ac:dyDescent="0.35">
      <c r="A27" s="60" t="s">
        <v>238</v>
      </c>
      <c r="B27" s="64">
        <f>'Summary YTD 12.31.18'!B55</f>
        <v>54707.439999999988</v>
      </c>
      <c r="C27" s="64">
        <f>'Summary YTD 12.31.18'!C55</f>
        <v>5941.1100000000006</v>
      </c>
      <c r="D27" s="64">
        <f>'Summary YTD 12.31.18'!D55</f>
        <v>217684.57</v>
      </c>
      <c r="E27" s="64">
        <f>'Summary YTD 12.31.18'!E55</f>
        <v>0</v>
      </c>
      <c r="F27" s="64">
        <f>'Summary YTD 12.31.18'!F55</f>
        <v>29259.329999999998</v>
      </c>
      <c r="G27" s="64">
        <f>'Summary YTD 12.31.18'!G55</f>
        <v>0</v>
      </c>
      <c r="H27" s="64">
        <f>'Summary YTD 12.31.18'!H55</f>
        <v>0</v>
      </c>
      <c r="I27" s="64">
        <f t="shared" si="2"/>
        <v>307592.45</v>
      </c>
      <c r="L27" s="62"/>
    </row>
    <row r="28" spans="1:12" s="60" customFormat="1" ht="30" customHeight="1" x14ac:dyDescent="0.35">
      <c r="A28" s="60" t="s">
        <v>356</v>
      </c>
      <c r="B28" s="64">
        <f>'Summary YTD 12.31.18'!B56</f>
        <v>3166.5</v>
      </c>
      <c r="C28" s="64">
        <f>'Summary YTD 12.31.18'!C56</f>
        <v>468.88000000000005</v>
      </c>
      <c r="D28" s="64">
        <f>'Summary YTD 12.31.18'!D56</f>
        <v>449</v>
      </c>
      <c r="E28" s="64">
        <f>'Summary YTD 12.31.18'!E56</f>
        <v>109</v>
      </c>
      <c r="F28" s="64">
        <f>'Summary YTD 12.31.18'!F56</f>
        <v>1665</v>
      </c>
      <c r="G28" s="64">
        <f>'Summary YTD 12.31.18'!G56</f>
        <v>520</v>
      </c>
      <c r="H28" s="64">
        <f>'Summary YTD 12.31.18'!H56</f>
        <v>520</v>
      </c>
      <c r="I28" s="64">
        <f t="shared" si="2"/>
        <v>6898.38</v>
      </c>
      <c r="L28" s="62"/>
    </row>
    <row r="29" spans="1:12" s="60" customFormat="1" ht="30" customHeight="1" x14ac:dyDescent="0.35">
      <c r="A29" s="60" t="s">
        <v>241</v>
      </c>
      <c r="B29" s="64">
        <f>'Summary YTD 12.31.18'!B58+'Summary YTD 12.31.18'!B57</f>
        <v>41964.72</v>
      </c>
      <c r="C29" s="64">
        <f>'Summary YTD 12.31.18'!C58+'Summary YTD 12.31.18'!C57</f>
        <v>0</v>
      </c>
      <c r="D29" s="64">
        <f>'Summary YTD 12.31.18'!D58+'Summary YTD 12.31.18'!D57</f>
        <v>398.36</v>
      </c>
      <c r="E29" s="64">
        <f>'Summary YTD 12.31.18'!E58+'Summary YTD 12.31.18'!E57</f>
        <v>0</v>
      </c>
      <c r="F29" s="64">
        <f>'Summary YTD 12.31.18'!F58+'Summary YTD 12.31.18'!F57</f>
        <v>21291.489999999998</v>
      </c>
      <c r="G29" s="64">
        <f>'Summary YTD 12.31.18'!G58+'Summary YTD 12.31.18'!G57</f>
        <v>0</v>
      </c>
      <c r="H29" s="64">
        <f>'Summary YTD 12.31.18'!H58+'Summary YTD 12.31.18'!H57</f>
        <v>0</v>
      </c>
      <c r="I29" s="64">
        <f t="shared" si="2"/>
        <v>63654.57</v>
      </c>
      <c r="L29" s="62"/>
    </row>
    <row r="30" spans="1:12" s="60" customFormat="1" ht="30" customHeight="1" x14ac:dyDescent="0.35">
      <c r="A30" s="60" t="s">
        <v>242</v>
      </c>
      <c r="B30" s="64">
        <f>'Summary YTD 12.31.18'!B59</f>
        <v>12202.319999999998</v>
      </c>
      <c r="C30" s="64">
        <f>'Summary YTD 12.31.18'!C59</f>
        <v>0</v>
      </c>
      <c r="D30" s="64">
        <f>'Summary YTD 12.31.18'!D59</f>
        <v>4451.6299999999992</v>
      </c>
      <c r="E30" s="64">
        <f>'Summary YTD 12.31.18'!E59</f>
        <v>0</v>
      </c>
      <c r="F30" s="64">
        <f>'Summary YTD 12.31.18'!F59</f>
        <v>0</v>
      </c>
      <c r="G30" s="64">
        <f>'Summary YTD 12.31.18'!G59</f>
        <v>0</v>
      </c>
      <c r="H30" s="64">
        <f>'Summary YTD 12.31.18'!H59</f>
        <v>0</v>
      </c>
      <c r="I30" s="64">
        <f t="shared" si="2"/>
        <v>16653.949999999997</v>
      </c>
      <c r="L30" s="62"/>
    </row>
    <row r="31" spans="1:12" s="60" customFormat="1" ht="30" customHeight="1" x14ac:dyDescent="0.35">
      <c r="A31" s="60" t="s">
        <v>244</v>
      </c>
      <c r="B31" s="64">
        <f>'Summary YTD 12.31.18'!B61</f>
        <v>1486541.88</v>
      </c>
      <c r="C31" s="64">
        <f>'Summary YTD 12.31.18'!C61</f>
        <v>4743.6099999999997</v>
      </c>
      <c r="D31" s="64">
        <f>'Summary YTD 12.31.18'!D61</f>
        <v>126181.48999999999</v>
      </c>
      <c r="E31" s="64">
        <f>'Summary YTD 12.31.18'!E61</f>
        <v>0</v>
      </c>
      <c r="F31" s="64">
        <f>'Summary YTD 12.31.18'!F61</f>
        <v>110674.99</v>
      </c>
      <c r="G31" s="64">
        <f>'Summary YTD 12.31.18'!G61</f>
        <v>111013.19000000003</v>
      </c>
      <c r="H31" s="64">
        <f>'Summary YTD 12.31.18'!H61</f>
        <v>176833.96000000002</v>
      </c>
      <c r="I31" s="64">
        <f t="shared" si="2"/>
        <v>2015989.1199999999</v>
      </c>
      <c r="L31" s="62"/>
    </row>
    <row r="32" spans="1:12" s="60" customFormat="1" ht="30" customHeight="1" x14ac:dyDescent="0.35">
      <c r="A32" s="60" t="s">
        <v>243</v>
      </c>
      <c r="B32" s="64">
        <f>'Summary YTD 12.31.18'!B60</f>
        <v>3999.9599999999996</v>
      </c>
      <c r="C32" s="64">
        <f>'Summary YTD 12.31.18'!C60</f>
        <v>0</v>
      </c>
      <c r="D32" s="64">
        <f>'Summary YTD 12.31.18'!D60</f>
        <v>0</v>
      </c>
      <c r="E32" s="64">
        <f>'Summary YTD 12.31.18'!E60</f>
        <v>0</v>
      </c>
      <c r="F32" s="64">
        <f>'Summary YTD 12.31.18'!F60</f>
        <v>0</v>
      </c>
      <c r="G32" s="64">
        <f>'Summary YTD 12.31.18'!G60</f>
        <v>0</v>
      </c>
      <c r="H32" s="64">
        <f>'Summary YTD 12.31.18'!H60</f>
        <v>0</v>
      </c>
      <c r="I32" s="64">
        <f t="shared" si="2"/>
        <v>3999.9599999999996</v>
      </c>
      <c r="L32" s="62"/>
    </row>
    <row r="33" spans="1:12" s="60" customFormat="1" ht="30" customHeight="1" x14ac:dyDescent="0.35">
      <c r="A33" s="60" t="s">
        <v>254</v>
      </c>
      <c r="B33" s="64">
        <f>'Summary YTD 12.31.18'!B62</f>
        <v>1560.6100000000001</v>
      </c>
      <c r="C33" s="64">
        <f>'Summary YTD 12.31.18'!C62</f>
        <v>0</v>
      </c>
      <c r="D33" s="64">
        <f>'Summary YTD 12.31.18'!D62</f>
        <v>0</v>
      </c>
      <c r="E33" s="64">
        <f>'Summary YTD 12.31.18'!E62</f>
        <v>0</v>
      </c>
      <c r="F33" s="64">
        <f>'Summary YTD 12.31.18'!F62</f>
        <v>0</v>
      </c>
      <c r="G33" s="64">
        <f>'Summary YTD 12.31.18'!G62</f>
        <v>0</v>
      </c>
      <c r="H33" s="64">
        <f>'Summary YTD 12.31.18'!H62</f>
        <v>0</v>
      </c>
      <c r="I33" s="64">
        <f t="shared" si="2"/>
        <v>1560.6100000000001</v>
      </c>
      <c r="L33" s="62"/>
    </row>
    <row r="34" spans="1:12" s="60" customFormat="1" ht="30" customHeight="1" x14ac:dyDescent="0.35">
      <c r="A34" s="60" t="s">
        <v>248</v>
      </c>
      <c r="B34" s="64">
        <f>'Summary YTD 12.31.18'!B64</f>
        <v>134430.88999999996</v>
      </c>
      <c r="C34" s="64">
        <f>'Summary YTD 12.31.18'!C64</f>
        <v>22738.28</v>
      </c>
      <c r="D34" s="64">
        <f>'Summary YTD 12.31.18'!D64</f>
        <v>87509.759999999995</v>
      </c>
      <c r="E34" s="64">
        <f>'Summary YTD 12.31.18'!E64</f>
        <v>0</v>
      </c>
      <c r="F34" s="64">
        <f>'Summary YTD 12.31.18'!F64</f>
        <v>0</v>
      </c>
      <c r="G34" s="64">
        <f>'Summary YTD 12.31.18'!G64</f>
        <v>0</v>
      </c>
      <c r="H34" s="64">
        <f>'Summary YTD 12.31.18'!H64</f>
        <v>0</v>
      </c>
      <c r="I34" s="64">
        <f t="shared" si="2"/>
        <v>244678.92999999993</v>
      </c>
      <c r="L34" s="62"/>
    </row>
    <row r="35" spans="1:12" s="60" customFormat="1" ht="30" customHeight="1" x14ac:dyDescent="0.35">
      <c r="A35" s="60" t="s">
        <v>413</v>
      </c>
      <c r="B35" s="64">
        <f>'Summary YTD 12.31.18'!B63+'Summary YTD 12.31.18'!B65+'Summary YTD 12.31.18'!B66</f>
        <v>70713.13</v>
      </c>
      <c r="C35" s="64">
        <f>'Summary YTD 12.31.18'!C63+'Summary YTD 12.31.18'!C65+'Summary YTD 12.31.18'!C66</f>
        <v>10078.27</v>
      </c>
      <c r="D35" s="64">
        <f>'Summary YTD 12.31.18'!D63+'Summary YTD 12.31.18'!D65+'Summary YTD 12.31.18'!D66</f>
        <v>36461.56</v>
      </c>
      <c r="E35" s="64">
        <f>'Summary YTD 12.31.18'!E63+'Summary YTD 12.31.18'!E65+'Summary YTD 12.31.18'!E66</f>
        <v>0</v>
      </c>
      <c r="F35" s="64">
        <f>'Summary YTD 12.31.18'!F63+'Summary YTD 12.31.18'!F65+'Summary YTD 12.31.18'!F66</f>
        <v>8994.989999999998</v>
      </c>
      <c r="G35" s="64">
        <f>'Summary YTD 12.31.18'!G63+'Summary YTD 12.31.18'!G65+'Summary YTD 12.31.18'!G66</f>
        <v>0</v>
      </c>
      <c r="H35" s="64">
        <f>'Summary YTD 12.31.18'!H63+'Summary YTD 12.31.18'!H65+'Summary YTD 12.31.18'!H66</f>
        <v>0</v>
      </c>
      <c r="I35" s="64">
        <f t="shared" si="2"/>
        <v>126247.95000000001</v>
      </c>
      <c r="L35" s="62"/>
    </row>
    <row r="36" spans="1:12" s="60" customFormat="1" ht="30" customHeight="1" x14ac:dyDescent="0.35">
      <c r="A36" s="63" t="s">
        <v>249</v>
      </c>
      <c r="B36" s="65">
        <f t="shared" ref="B36:H36" si="3">SUM(B22:B35)</f>
        <v>2710536.9899999993</v>
      </c>
      <c r="C36" s="65">
        <f t="shared" si="3"/>
        <v>106689.88</v>
      </c>
      <c r="D36" s="65">
        <f t="shared" si="3"/>
        <v>1160003.8800000001</v>
      </c>
      <c r="E36" s="65">
        <f t="shared" si="3"/>
        <v>109</v>
      </c>
      <c r="F36" s="65">
        <f t="shared" si="3"/>
        <v>303827.08</v>
      </c>
      <c r="G36" s="65">
        <f t="shared" si="3"/>
        <v>111533.19000000003</v>
      </c>
      <c r="H36" s="65">
        <f t="shared" si="3"/>
        <v>177353.96000000002</v>
      </c>
      <c r="I36" s="65">
        <f>SUM(B36:H36)</f>
        <v>4570053.9799999995</v>
      </c>
      <c r="L36" s="62"/>
    </row>
    <row r="37" spans="1:12" s="60" customFormat="1" ht="30" customHeight="1" x14ac:dyDescent="0.35">
      <c r="B37" s="64"/>
      <c r="C37" s="64"/>
      <c r="D37" s="64"/>
      <c r="E37" s="64"/>
      <c r="F37" s="64"/>
      <c r="G37" s="64"/>
      <c r="H37" s="64"/>
      <c r="I37" s="64">
        <f>SUM(B37:F37)</f>
        <v>0</v>
      </c>
      <c r="L37" s="62"/>
    </row>
    <row r="38" spans="1:12" s="60" customFormat="1" ht="30" customHeight="1" x14ac:dyDescent="0.35">
      <c r="A38" s="63" t="s">
        <v>250</v>
      </c>
      <c r="B38" s="64"/>
      <c r="C38" s="64"/>
      <c r="D38" s="64"/>
      <c r="E38" s="64"/>
      <c r="F38" s="64"/>
      <c r="G38" s="64"/>
      <c r="H38" s="64"/>
      <c r="I38" s="64">
        <f>SUM(B38:F38)</f>
        <v>0</v>
      </c>
      <c r="L38" s="62"/>
    </row>
    <row r="39" spans="1:12" s="60" customFormat="1" ht="30" customHeight="1" x14ac:dyDescent="0.35">
      <c r="A39" s="60" t="s">
        <v>251</v>
      </c>
      <c r="B39" s="64">
        <f>'Summary YTD 12.31.18'!B70</f>
        <v>10702.03</v>
      </c>
      <c r="C39" s="64">
        <f>'Summary YTD 12.31.18'!C70</f>
        <v>0</v>
      </c>
      <c r="D39" s="64">
        <f>'Summary YTD 12.31.18'!D70</f>
        <v>1830.05</v>
      </c>
      <c r="E39" s="64">
        <f>'Summary YTD 12.31.18'!E70</f>
        <v>0</v>
      </c>
      <c r="F39" s="64">
        <f>'Summary YTD 12.31.18'!F70</f>
        <v>3730.92</v>
      </c>
      <c r="G39" s="64">
        <f>'Summary YTD 12.31.18'!G70</f>
        <v>0</v>
      </c>
      <c r="H39" s="64">
        <f>'Summary YTD 12.31.18'!H70</f>
        <v>0</v>
      </c>
      <c r="I39" s="64">
        <f>SUM(B39:H39)</f>
        <v>16263</v>
      </c>
      <c r="L39" s="62"/>
    </row>
    <row r="40" spans="1:12" s="60" customFormat="1" ht="30" customHeight="1" x14ac:dyDescent="0.35">
      <c r="A40" s="60" t="s">
        <v>547</v>
      </c>
      <c r="B40" s="64">
        <v>0</v>
      </c>
      <c r="C40" s="64">
        <v>0</v>
      </c>
      <c r="D40" s="64">
        <v>0</v>
      </c>
      <c r="E40" s="64">
        <f>'Comp YTD 2018-2017 Dec'!E81</f>
        <v>4281.26</v>
      </c>
      <c r="F40" s="64">
        <v>0</v>
      </c>
      <c r="G40" s="64">
        <v>0</v>
      </c>
      <c r="H40" s="64">
        <v>0</v>
      </c>
      <c r="I40" s="64">
        <f>SUM(B40:H40)</f>
        <v>4281.26</v>
      </c>
      <c r="L40" s="62"/>
    </row>
    <row r="41" spans="1:12" s="60" customFormat="1" ht="30" customHeight="1" x14ac:dyDescent="0.35">
      <c r="A41" s="60" t="s">
        <v>252</v>
      </c>
      <c r="B41" s="64">
        <f>'Summary YTD 12.31.18'!B73</f>
        <v>123365.15</v>
      </c>
      <c r="C41" s="64">
        <f>'Summary YTD 12.31.18'!C73</f>
        <v>9986.6</v>
      </c>
      <c r="D41" s="64">
        <f>'Summary YTD 12.31.18'!D73</f>
        <v>8752.2300000000014</v>
      </c>
      <c r="E41" s="64">
        <f>'Summary YTD 12.31.18'!E73</f>
        <v>2418.9900000000002</v>
      </c>
      <c r="F41" s="64">
        <f>'Summary YTD 12.31.18'!F73</f>
        <v>3439.0699999999993</v>
      </c>
      <c r="G41" s="64">
        <f>'Summary YTD 12.31.18'!G73</f>
        <v>0</v>
      </c>
      <c r="H41" s="64">
        <f>'Summary YTD 12.31.18'!H73</f>
        <v>955.25000000000011</v>
      </c>
      <c r="I41" s="64">
        <f t="shared" ref="I41:I51" si="4">SUM(B41:H41)</f>
        <v>148917.29</v>
      </c>
      <c r="L41" s="62"/>
    </row>
    <row r="42" spans="1:12" s="60" customFormat="1" ht="30" customHeight="1" x14ac:dyDescent="0.35">
      <c r="A42" s="60" t="s">
        <v>363</v>
      </c>
      <c r="B42" s="64">
        <f>'Summary YTD 12.31.18'!B74</f>
        <v>0</v>
      </c>
      <c r="C42" s="64">
        <f>'Summary YTD 12.31.18'!C74</f>
        <v>0</v>
      </c>
      <c r="D42" s="64">
        <f>'Summary YTD 12.31.18'!D74</f>
        <v>0</v>
      </c>
      <c r="E42" s="64">
        <f>'Summary YTD 12.31.18'!E74</f>
        <v>0</v>
      </c>
      <c r="F42" s="64">
        <f>'Summary YTD 12.31.18'!F74</f>
        <v>4784.8900000000003</v>
      </c>
      <c r="G42" s="64">
        <f>'Summary YTD 12.31.18'!G74</f>
        <v>0</v>
      </c>
      <c r="H42" s="64">
        <f>'Summary YTD 12.31.18'!H74</f>
        <v>0</v>
      </c>
      <c r="I42" s="64">
        <f t="shared" si="4"/>
        <v>4784.8900000000003</v>
      </c>
      <c r="L42" s="62"/>
    </row>
    <row r="43" spans="1:12" s="60" customFormat="1" ht="30" customHeight="1" x14ac:dyDescent="0.35">
      <c r="A43" s="60" t="s">
        <v>253</v>
      </c>
      <c r="B43" s="64">
        <f>'Summary YTD 12.31.18'!B75+'Summary YTD 12.31.18'!B71</f>
        <v>9290.2099999999991</v>
      </c>
      <c r="C43" s="64">
        <f>'Summary YTD 12.31.18'!C75</f>
        <v>0</v>
      </c>
      <c r="D43" s="64">
        <f>'Summary YTD 12.31.18'!D75</f>
        <v>9232.57</v>
      </c>
      <c r="E43" s="64">
        <f>'Summary YTD 12.31.18'!E75</f>
        <v>0</v>
      </c>
      <c r="F43" s="64">
        <f>'Summary YTD 12.31.18'!F75</f>
        <v>1068.2</v>
      </c>
      <c r="G43" s="64">
        <f>'Summary YTD 12.31.18'!G75</f>
        <v>0</v>
      </c>
      <c r="H43" s="64">
        <f>'Summary YTD 12.31.18'!H75</f>
        <v>0</v>
      </c>
      <c r="I43" s="64">
        <f t="shared" si="4"/>
        <v>19590.98</v>
      </c>
      <c r="L43" s="62"/>
    </row>
    <row r="44" spans="1:12" s="60" customFormat="1" ht="30" customHeight="1" x14ac:dyDescent="0.35">
      <c r="A44" s="60" t="s">
        <v>459</v>
      </c>
      <c r="B44" s="64">
        <f>'Summary YTD 12.31.18'!B76+'Summary YTD 12.31.18'!B77+'Summary YTD 12.31.18'!B78+'Summary YTD 12.31.18'!B79+'Summary YTD 12.31.18'!B80</f>
        <v>557624.92000000004</v>
      </c>
      <c r="C44" s="64">
        <f>'Summary YTD 12.31.18'!C76+'Summary YTD 12.31.18'!C77+'Summary YTD 12.31.18'!C78+'Summary YTD 12.31.18'!C79+'Summary YTD 12.31.18'!C80</f>
        <v>69870.399999999994</v>
      </c>
      <c r="D44" s="64">
        <f>'Summary YTD 12.31.18'!D76+'Summary YTD 12.31.18'!D77+'Summary YTD 12.31.18'!D78+'Summary YTD 12.31.18'!D79+'Summary YTD 12.31.18'!D80</f>
        <v>115851.73</v>
      </c>
      <c r="E44" s="64">
        <f>'Summary YTD 12.31.18'!E76+'Summary YTD 12.31.18'!E77+'Summary YTD 12.31.18'!E78+'Summary YTD 12.31.18'!E79+'Summary YTD 12.31.18'!E80</f>
        <v>25075</v>
      </c>
      <c r="F44" s="64">
        <f>'Summary YTD 12.31.18'!F76+'Summary YTD 12.31.18'!F77+'Summary YTD 12.31.18'!F78+'Summary YTD 12.31.18'!F79+'Summary YTD 12.31.18'!F80</f>
        <v>23375</v>
      </c>
      <c r="G44" s="64">
        <f>'Summary YTD 12.31.18'!G76+'Summary YTD 12.31.18'!G77+'Summary YTD 12.31.18'!G78+'Summary YTD 12.31.18'!G79+'Summary YTD 12.31.18'!G80</f>
        <v>3445</v>
      </c>
      <c r="H44" s="64">
        <f>'Summary YTD 12.31.18'!H76+'Summary YTD 12.31.18'!H77+'Summary YTD 12.31.18'!H78+'Summary YTD 12.31.18'!H79+'Summary YTD 12.31.18'!H80</f>
        <v>2550</v>
      </c>
      <c r="I44" s="64">
        <f t="shared" si="4"/>
        <v>797792.05</v>
      </c>
      <c r="L44" s="62"/>
    </row>
    <row r="45" spans="1:12" s="60" customFormat="1" ht="30" customHeight="1" x14ac:dyDescent="0.35">
      <c r="A45" s="60" t="s">
        <v>255</v>
      </c>
      <c r="B45" s="64">
        <f>'Summary YTD 12.31.18'!B81</f>
        <v>25030.730000000003</v>
      </c>
      <c r="C45" s="64">
        <f>'Summary YTD 12.31.18'!C81</f>
        <v>0</v>
      </c>
      <c r="D45" s="64">
        <f>'Summary YTD 12.31.18'!D81</f>
        <v>62543.58</v>
      </c>
      <c r="E45" s="64">
        <f>'Summary YTD 12.31.18'!E81</f>
        <v>0</v>
      </c>
      <c r="F45" s="64">
        <f>'Summary YTD 12.31.18'!F81</f>
        <v>1726.5299999999995</v>
      </c>
      <c r="G45" s="64">
        <f>'Summary YTD 12.31.18'!G81</f>
        <v>0</v>
      </c>
      <c r="H45" s="64">
        <f>'Summary YTD 12.31.18'!H81</f>
        <v>0</v>
      </c>
      <c r="I45" s="64">
        <f t="shared" si="4"/>
        <v>89300.84</v>
      </c>
      <c r="L45" s="62"/>
    </row>
    <row r="46" spans="1:12" s="60" customFormat="1" ht="30" customHeight="1" x14ac:dyDescent="0.35">
      <c r="A46" s="60" t="s">
        <v>256</v>
      </c>
      <c r="B46" s="64">
        <f>'Summary YTD 12.31.18'!B82</f>
        <v>32845.799999999996</v>
      </c>
      <c r="C46" s="64">
        <f>'Summary YTD 12.31.18'!C82</f>
        <v>912.49</v>
      </c>
      <c r="D46" s="64">
        <f>'Summary YTD 12.31.18'!D82</f>
        <v>2477.5</v>
      </c>
      <c r="E46" s="64">
        <f>'Summary YTD 12.31.18'!E82</f>
        <v>0</v>
      </c>
      <c r="F46" s="64">
        <f>'Summary YTD 12.31.18'!F82</f>
        <v>642</v>
      </c>
      <c r="G46" s="64">
        <f>'Summary YTD 12.31.18'!G82</f>
        <v>0</v>
      </c>
      <c r="H46" s="64">
        <f>'Summary YTD 12.31.18'!H82</f>
        <v>0</v>
      </c>
      <c r="I46" s="64">
        <f t="shared" si="4"/>
        <v>36877.789999999994</v>
      </c>
      <c r="L46" s="62"/>
    </row>
    <row r="47" spans="1:12" s="60" customFormat="1" ht="30" customHeight="1" x14ac:dyDescent="0.35">
      <c r="A47" s="60" t="s">
        <v>257</v>
      </c>
      <c r="B47" s="64">
        <f>'Summary YTD 12.31.18'!B83</f>
        <v>25853.820000000003</v>
      </c>
      <c r="C47" s="64">
        <f>'Summary YTD 12.31.18'!C83</f>
        <v>0</v>
      </c>
      <c r="D47" s="64">
        <f>'Summary YTD 12.31.18'!D83</f>
        <v>8660.34</v>
      </c>
      <c r="E47" s="64">
        <f>'Summary YTD 12.31.18'!E83</f>
        <v>0</v>
      </c>
      <c r="F47" s="64">
        <f>'Summary YTD 12.31.18'!F83</f>
        <v>0</v>
      </c>
      <c r="G47" s="64">
        <f>'Summary YTD 12.31.18'!G83</f>
        <v>0</v>
      </c>
      <c r="H47" s="64">
        <f>'Summary YTD 12.31.18'!H83</f>
        <v>0</v>
      </c>
      <c r="I47" s="64">
        <f t="shared" si="4"/>
        <v>34514.160000000003</v>
      </c>
      <c r="L47" s="62"/>
    </row>
    <row r="48" spans="1:12" s="60" customFormat="1" ht="30" customHeight="1" x14ac:dyDescent="0.35">
      <c r="A48" s="60" t="s">
        <v>294</v>
      </c>
      <c r="B48" s="64">
        <f>'Summary YTD 12.31.18'!B84</f>
        <v>543.67999999999995</v>
      </c>
      <c r="C48" s="64">
        <f>'Summary YTD 12.31.18'!C84</f>
        <v>0</v>
      </c>
      <c r="D48" s="64">
        <f>'Summary YTD 12.31.18'!D84</f>
        <v>5310.59</v>
      </c>
      <c r="E48" s="64">
        <f>'Summary YTD 12.31.18'!E84</f>
        <v>0</v>
      </c>
      <c r="F48" s="64">
        <f>'Summary YTD 12.31.18'!F84</f>
        <v>2600</v>
      </c>
      <c r="G48" s="64">
        <f>'Summary YTD 12.31.18'!G84</f>
        <v>0</v>
      </c>
      <c r="H48" s="64">
        <f>'Summary YTD 12.31.18'!H84</f>
        <v>0</v>
      </c>
      <c r="I48" s="64">
        <f t="shared" si="4"/>
        <v>8454.27</v>
      </c>
      <c r="L48" s="62"/>
    </row>
    <row r="49" spans="1:12" s="60" customFormat="1" ht="30" customHeight="1" x14ac:dyDescent="0.35">
      <c r="A49" s="60" t="s">
        <v>487</v>
      </c>
      <c r="B49" s="64">
        <f>'Summary YTD 12.31.18'!B85</f>
        <v>6678.97</v>
      </c>
      <c r="C49" s="64">
        <v>0</v>
      </c>
      <c r="D49" s="64">
        <v>0</v>
      </c>
      <c r="E49" s="64">
        <v>0</v>
      </c>
      <c r="F49" s="64">
        <f>'BSC (Dome)'!N65</f>
        <v>14027.4</v>
      </c>
      <c r="G49" s="64">
        <v>0</v>
      </c>
      <c r="H49" s="64">
        <f>'BSC (Dome)'!O65</f>
        <v>0</v>
      </c>
      <c r="I49" s="64">
        <f t="shared" si="4"/>
        <v>20706.37</v>
      </c>
      <c r="L49" s="62"/>
    </row>
    <row r="50" spans="1:12" s="60" customFormat="1" ht="30" customHeight="1" x14ac:dyDescent="0.35">
      <c r="A50" s="60" t="s">
        <v>414</v>
      </c>
      <c r="B50" s="64">
        <f>'Summary YTD 12.31.18'!B86+'Summary YTD 12.31.18'!B87</f>
        <v>35714.149999999994</v>
      </c>
      <c r="C50" s="64">
        <f>'Summary YTD 12.31.18'!C86+'Summary YTD 12.31.18'!C87</f>
        <v>7140.03</v>
      </c>
      <c r="D50" s="64">
        <f>'Summary YTD 12.31.18'!D86+'Summary YTD 12.31.18'!D87</f>
        <v>6690.94</v>
      </c>
      <c r="E50" s="64">
        <f>'Summary YTD 12.31.18'!E86+'Summary YTD 12.31.18'!E87</f>
        <v>0</v>
      </c>
      <c r="F50" s="64">
        <f>'Summary YTD 12.31.18'!F86+'Summary YTD 12.31.18'!F87</f>
        <v>0</v>
      </c>
      <c r="G50" s="64">
        <f>'Summary YTD 12.31.18'!G86+'Summary YTD 12.31.18'!G87</f>
        <v>0</v>
      </c>
      <c r="H50" s="64">
        <f>'Summary YTD 12.31.18'!H86+'Summary YTD 12.31.18'!H87</f>
        <v>0</v>
      </c>
      <c r="I50" s="64">
        <f t="shared" si="4"/>
        <v>49545.119999999995</v>
      </c>
      <c r="L50" s="62"/>
    </row>
    <row r="51" spans="1:12" s="60" customFormat="1" ht="30" customHeight="1" x14ac:dyDescent="0.35">
      <c r="A51" s="60" t="s">
        <v>461</v>
      </c>
      <c r="B51" s="64">
        <f>'Summary YTD 12.31.18'!B88+'Summary YTD 12.31.18'!B89</f>
        <v>28820.450000000004</v>
      </c>
      <c r="C51" s="64">
        <f>'Summary YTD 12.31.18'!C88+'Summary YTD 12.31.18'!C89</f>
        <v>0</v>
      </c>
      <c r="D51" s="64">
        <f>'Summary YTD 12.31.18'!D88+'Summary YTD 12.31.18'!D89</f>
        <v>0</v>
      </c>
      <c r="E51" s="64">
        <f>'Summary YTD 12.31.18'!E88+'Summary YTD 12.31.18'!E89</f>
        <v>0</v>
      </c>
      <c r="F51" s="64">
        <f>'Summary YTD 12.31.18'!F88+'Summary YTD 12.31.18'!F89</f>
        <v>0</v>
      </c>
      <c r="G51" s="64">
        <f>'Summary YTD 12.31.18'!G88+'Summary YTD 12.31.18'!G89</f>
        <v>0</v>
      </c>
      <c r="H51" s="64">
        <f>'Summary YTD 12.31.18'!H88+'Summary YTD 12.31.18'!H89</f>
        <v>0</v>
      </c>
      <c r="I51" s="64">
        <f t="shared" si="4"/>
        <v>28820.450000000004</v>
      </c>
      <c r="L51" s="62"/>
    </row>
    <row r="52" spans="1:12" s="60" customFormat="1" ht="30" customHeight="1" x14ac:dyDescent="0.35">
      <c r="A52" s="63" t="s">
        <v>263</v>
      </c>
      <c r="B52" s="65">
        <f t="shared" ref="B52:H52" si="5">SUM(B39:B51)</f>
        <v>856469.91</v>
      </c>
      <c r="C52" s="65">
        <f t="shared" si="5"/>
        <v>87909.52</v>
      </c>
      <c r="D52" s="65">
        <f t="shared" si="5"/>
        <v>221349.52999999997</v>
      </c>
      <c r="E52" s="65">
        <f t="shared" si="5"/>
        <v>31775.25</v>
      </c>
      <c r="F52" s="65">
        <f t="shared" si="5"/>
        <v>55394.01</v>
      </c>
      <c r="G52" s="65">
        <f t="shared" si="5"/>
        <v>3445</v>
      </c>
      <c r="H52" s="65">
        <f t="shared" si="5"/>
        <v>3505.25</v>
      </c>
      <c r="I52" s="65">
        <f>SUM(B52:H52)</f>
        <v>1259848.47</v>
      </c>
      <c r="L52" s="62"/>
    </row>
    <row r="53" spans="1:12" s="60" customFormat="1" ht="30" customHeight="1" x14ac:dyDescent="0.35">
      <c r="B53" s="64"/>
      <c r="C53" s="64"/>
      <c r="D53" s="64"/>
      <c r="E53" s="64"/>
      <c r="F53" s="64"/>
      <c r="G53" s="64"/>
      <c r="H53" s="64"/>
      <c r="I53" s="64">
        <f>SUM(B53:F53)</f>
        <v>0</v>
      </c>
      <c r="L53" s="62"/>
    </row>
    <row r="54" spans="1:12" s="60" customFormat="1" ht="30" customHeight="1" thickBot="1" x14ac:dyDescent="0.4">
      <c r="A54" s="63" t="s">
        <v>264</v>
      </c>
      <c r="B54" s="66">
        <f t="shared" ref="B54:H54" si="6">B19+B36+B52</f>
        <v>6816947.0199999996</v>
      </c>
      <c r="C54" s="66">
        <f t="shared" si="6"/>
        <v>1021978.9999999999</v>
      </c>
      <c r="D54" s="66">
        <f t="shared" si="6"/>
        <v>2440886.9499999997</v>
      </c>
      <c r="E54" s="66">
        <f t="shared" si="6"/>
        <v>31884.25</v>
      </c>
      <c r="F54" s="66">
        <f t="shared" si="6"/>
        <v>771903.3</v>
      </c>
      <c r="G54" s="66">
        <f>G19+G36+G52</f>
        <v>114978.19000000003</v>
      </c>
      <c r="H54" s="66">
        <f t="shared" si="6"/>
        <v>180859.21000000002</v>
      </c>
      <c r="I54" s="66">
        <f>SUM(B54:H54)</f>
        <v>11379437.92</v>
      </c>
      <c r="L54" s="62"/>
    </row>
    <row r="55" spans="1:12" s="60" customFormat="1" ht="30" customHeight="1" x14ac:dyDescent="0.35">
      <c r="B55" s="64"/>
      <c r="C55" s="64"/>
      <c r="D55" s="64"/>
      <c r="E55" s="64"/>
      <c r="F55" s="64"/>
      <c r="G55" s="64"/>
      <c r="H55" s="64"/>
      <c r="I55" s="64"/>
      <c r="L55" s="62"/>
    </row>
    <row r="56" spans="1:12" s="60" customFormat="1" ht="30" customHeight="1" x14ac:dyDescent="0.35">
      <c r="A56" s="63" t="s">
        <v>462</v>
      </c>
      <c r="B56" s="64"/>
      <c r="C56" s="64"/>
      <c r="D56" s="64"/>
      <c r="E56" s="64"/>
      <c r="F56" s="64"/>
      <c r="G56" s="64"/>
      <c r="H56" s="64"/>
      <c r="I56" s="64"/>
      <c r="L56" s="62"/>
    </row>
    <row r="57" spans="1:12" s="60" customFormat="1" ht="30" customHeight="1" x14ac:dyDescent="0.35">
      <c r="A57" s="60" t="s">
        <v>267</v>
      </c>
      <c r="B57" s="64">
        <f>'Summary YTD 12.31.18'!B95</f>
        <v>150000</v>
      </c>
      <c r="C57" s="64">
        <v>0</v>
      </c>
      <c r="D57" s="64">
        <f>DEP!N76</f>
        <v>150000</v>
      </c>
      <c r="E57" s="64">
        <v>0</v>
      </c>
      <c r="F57" s="64">
        <f>'BSC (Dome)'!N76+'BSC (Dome)'!N77</f>
        <v>65000</v>
      </c>
      <c r="G57" s="64">
        <f>'Summary YTD 12.31.18'!G95</f>
        <v>272400</v>
      </c>
      <c r="H57" s="64">
        <f>'722 Bedford St'!N22+'722 Bedford St'!N23</f>
        <v>240000</v>
      </c>
      <c r="I57" s="64">
        <f t="shared" ref="I57:I62" si="7">SUM(B57:H57)</f>
        <v>877400</v>
      </c>
      <c r="L57" s="62"/>
    </row>
    <row r="58" spans="1:12" s="60" customFormat="1" ht="30" customHeight="1" x14ac:dyDescent="0.35">
      <c r="A58" s="60" t="s">
        <v>272</v>
      </c>
      <c r="B58" s="64">
        <f>'Summary YTD 12.31.18'!B96+'Summary YTD 12.31.18'!B98+'Summary YTD 12.31.18'!B99+'Summary YTD 12.31.18'!B102+'Summary YTD 12.31.18'!B103+'Summary YTD 12.31.18'!B106+'Summary YTD 12.31.18'!B104+'Summary YTD 12.31.18'!B105+'Summary YTD 12.31.18'!B107</f>
        <v>436199.95000000007</v>
      </c>
      <c r="C58" s="64">
        <v>0</v>
      </c>
      <c r="D58" s="64">
        <f>'Summary YTD 12.31.18'!D96+'Summary YTD 12.31.18'!D98+'Summary YTD 12.31.18'!D99+'Summary YTD 12.31.18'!D102+'Summary YTD 12.31.18'!D103+'Summary YTD 12.31.18'!D106</f>
        <v>0</v>
      </c>
      <c r="E58" s="64">
        <f>'Summary YTD 12.31.18'!E96+'Summary YTD 12.31.18'!E98+'Summary YTD 12.31.18'!E99+'Summary YTD 12.31.18'!E102+'Summary YTD 12.31.18'!E103+'Summary YTD 12.31.18'!E106</f>
        <v>0</v>
      </c>
      <c r="F58" s="64">
        <f>'Summary YTD 12.31.18'!F96+'Summary YTD 12.31.18'!F98+'Summary YTD 12.31.18'!F99+'Summary YTD 12.31.18'!F102+'Summary YTD 12.31.18'!F103+'Summary YTD 12.31.18'!F106</f>
        <v>1912.98</v>
      </c>
      <c r="G58" s="64">
        <f>'Summary YTD 12.31.18'!G102</f>
        <v>1.01</v>
      </c>
      <c r="H58" s="64">
        <v>0</v>
      </c>
      <c r="I58" s="64">
        <f t="shared" si="7"/>
        <v>438113.94000000006</v>
      </c>
      <c r="L58" s="62"/>
    </row>
    <row r="59" spans="1:12" s="60" customFormat="1" ht="30" customHeight="1" x14ac:dyDescent="0.35">
      <c r="A59" s="60" t="s">
        <v>270</v>
      </c>
      <c r="B59" s="64">
        <f>'Summary YTD 12.31.18'!B100</f>
        <v>288235.61</v>
      </c>
      <c r="C59" s="64">
        <f>'Summary YTD 12.31.18'!C100</f>
        <v>13994.72</v>
      </c>
      <c r="D59" s="64">
        <f>'Summary YTD 12.31.18'!D100</f>
        <v>34785.49</v>
      </c>
      <c r="E59" s="64">
        <f>'Summary YTD 12.31.18'!E100</f>
        <v>51929.259999999995</v>
      </c>
      <c r="F59" s="64">
        <f>'Summary YTD 12.31.18'!F100</f>
        <v>0</v>
      </c>
      <c r="G59" s="64">
        <f>'Summary YTD 12.31.18'!G100</f>
        <v>43677.48</v>
      </c>
      <c r="H59" s="64">
        <v>0</v>
      </c>
      <c r="I59" s="64">
        <f t="shared" si="7"/>
        <v>432622.55999999994</v>
      </c>
      <c r="L59" s="62"/>
    </row>
    <row r="60" spans="1:12" s="60" customFormat="1" ht="30" customHeight="1" x14ac:dyDescent="0.35">
      <c r="A60" s="60" t="s">
        <v>271</v>
      </c>
      <c r="B60" s="64">
        <f>'Summary YTD 12.31.18'!B101</f>
        <v>-183630.22999999998</v>
      </c>
      <c r="C60" s="64">
        <f>'Summary YTD 12.31.18'!C101</f>
        <v>0</v>
      </c>
      <c r="D60" s="64">
        <f>'Summary YTD 12.31.18'!D101</f>
        <v>0</v>
      </c>
      <c r="E60" s="64">
        <f>'Summary YTD 12.31.18'!E101</f>
        <v>-5412.26</v>
      </c>
      <c r="F60" s="64">
        <f>'Summary YTD 12.31.18'!F101</f>
        <v>-115819.5</v>
      </c>
      <c r="G60" s="64">
        <f>'Summary YTD 12.31.18'!G101</f>
        <v>-10331.160000000002</v>
      </c>
      <c r="H60" s="64">
        <f>'Summary YTD 12.31.18'!H101</f>
        <v>-562.5</v>
      </c>
      <c r="I60" s="64">
        <f t="shared" si="7"/>
        <v>-315755.64999999997</v>
      </c>
      <c r="L60" s="62"/>
    </row>
    <row r="61" spans="1:12" s="60" customFormat="1" ht="30" customHeight="1" x14ac:dyDescent="0.35">
      <c r="A61" s="60" t="s">
        <v>415</v>
      </c>
      <c r="B61" s="64">
        <v>0</v>
      </c>
      <c r="C61" s="64">
        <f>'Summary YTD 12.31.18'!C97+'Summary YTD 12.31.18'!C98</f>
        <v>-58198.46</v>
      </c>
      <c r="D61" s="64">
        <f>'Summary YTD 12.31.18'!D97</f>
        <v>0</v>
      </c>
      <c r="E61" s="64">
        <f>'Summary YTD 12.31.18'!E97</f>
        <v>0</v>
      </c>
      <c r="F61" s="64">
        <f>'Summary YTD 12.31.18'!F97</f>
        <v>0</v>
      </c>
      <c r="G61" s="64">
        <f>'Summary YTD 12.31.18'!G97</f>
        <v>0</v>
      </c>
      <c r="H61" s="64">
        <v>0</v>
      </c>
      <c r="I61" s="64">
        <f>SUM(B61:H61)</f>
        <v>-58198.46</v>
      </c>
      <c r="L61" s="62"/>
    </row>
    <row r="62" spans="1:12" s="60" customFormat="1" ht="30" customHeight="1" x14ac:dyDescent="0.35">
      <c r="A62" s="63" t="s">
        <v>463</v>
      </c>
      <c r="B62" s="65">
        <f>SUM(B57:B61)</f>
        <v>690805.33000000007</v>
      </c>
      <c r="C62" s="65">
        <f t="shared" ref="C62:H62" si="8">SUM(C57:C61)</f>
        <v>-44203.74</v>
      </c>
      <c r="D62" s="65">
        <f t="shared" si="8"/>
        <v>184785.49</v>
      </c>
      <c r="E62" s="65">
        <f t="shared" si="8"/>
        <v>46516.999999999993</v>
      </c>
      <c r="F62" s="65">
        <f t="shared" si="8"/>
        <v>-48906.520000000004</v>
      </c>
      <c r="G62" s="65">
        <f t="shared" si="8"/>
        <v>305747.33</v>
      </c>
      <c r="H62" s="65">
        <f t="shared" si="8"/>
        <v>239437.5</v>
      </c>
      <c r="I62" s="65">
        <f t="shared" si="7"/>
        <v>1374182.3900000001</v>
      </c>
      <c r="L62" s="62"/>
    </row>
    <row r="63" spans="1:12" s="60" customFormat="1" ht="30" customHeight="1" x14ac:dyDescent="0.35">
      <c r="A63" s="63"/>
      <c r="B63" s="64"/>
      <c r="C63" s="64"/>
      <c r="D63" s="64"/>
      <c r="E63" s="64"/>
      <c r="F63" s="64"/>
      <c r="G63" s="64"/>
      <c r="H63" s="64"/>
      <c r="I63" s="64">
        <f>SUM(B63:F63)</f>
        <v>0</v>
      </c>
      <c r="L63" s="62"/>
    </row>
    <row r="64" spans="1:12" s="60" customFormat="1" ht="30" customHeight="1" thickBot="1" x14ac:dyDescent="0.4">
      <c r="A64" s="63" t="s">
        <v>266</v>
      </c>
      <c r="B64" s="67">
        <f>B11-B54+B62</f>
        <v>-570607.75999874063</v>
      </c>
      <c r="C64" s="67">
        <f t="shared" ref="C64:H64" si="9">C11-C54+C62</f>
        <v>218466.90000001562</v>
      </c>
      <c r="D64" s="67">
        <f t="shared" si="9"/>
        <v>844796.72</v>
      </c>
      <c r="E64" s="67">
        <f t="shared" si="9"/>
        <v>14632.749999999993</v>
      </c>
      <c r="F64" s="67">
        <f t="shared" si="9"/>
        <v>-29868.68999999993</v>
      </c>
      <c r="G64" s="67">
        <f>G11-G54+G62</f>
        <v>190769.13999999998</v>
      </c>
      <c r="H64" s="67">
        <f t="shared" si="9"/>
        <v>58578.289999999979</v>
      </c>
      <c r="I64" s="67">
        <f>SUM(B64:H64)</f>
        <v>726767.35000127507</v>
      </c>
      <c r="L64" s="62"/>
    </row>
    <row r="65" spans="1:9" ht="15" thickTop="1" x14ac:dyDescent="0.3">
      <c r="A65" t="s">
        <v>331</v>
      </c>
      <c r="B65" s="35">
        <f>CNT!N287</f>
        <v>-570607.76000017207</v>
      </c>
      <c r="C65" s="35">
        <f>BPM!N80</f>
        <v>218466.90000000084</v>
      </c>
      <c r="D65" s="35">
        <f>DEP!N80</f>
        <v>844796.72</v>
      </c>
      <c r="E65" s="35">
        <f>Lending!N21</f>
        <v>14632.749999999993</v>
      </c>
      <c r="F65" s="35">
        <f>'BSC (Dome)'!N85</f>
        <v>-29868.69</v>
      </c>
      <c r="G65" s="35">
        <f>'Oliari Co.'!N29</f>
        <v>190769.13999999998</v>
      </c>
      <c r="H65" s="35">
        <f>'722 Bedford St'!N29</f>
        <v>58578.289999999979</v>
      </c>
      <c r="I65" s="35">
        <f>SUM(B65:H65)</f>
        <v>726767.34999982873</v>
      </c>
    </row>
    <row r="67" spans="1:9" x14ac:dyDescent="0.3">
      <c r="B67" s="42"/>
    </row>
    <row r="69" spans="1:9" x14ac:dyDescent="0.3">
      <c r="B69" s="42"/>
    </row>
    <row r="70" spans="1:9" x14ac:dyDescent="0.3">
      <c r="B70" s="42"/>
    </row>
    <row r="87" spans="2:9" x14ac:dyDescent="0.3">
      <c r="B87" s="35"/>
      <c r="C87" s="35"/>
      <c r="D87" s="35"/>
      <c r="E87" s="35"/>
      <c r="I87" s="42"/>
    </row>
    <row r="88" spans="2:9" x14ac:dyDescent="0.3">
      <c r="B88" s="35"/>
      <c r="C88" s="35"/>
      <c r="D88" s="35"/>
      <c r="E88" s="35"/>
    </row>
    <row r="89" spans="2:9" x14ac:dyDescent="0.3">
      <c r="B89" s="35"/>
      <c r="C89" s="35"/>
      <c r="D89" s="35"/>
      <c r="E89" s="35"/>
    </row>
    <row r="90" spans="2:9" x14ac:dyDescent="0.3">
      <c r="B90" s="35"/>
      <c r="C90" s="35"/>
      <c r="D90" s="35"/>
      <c r="E90" s="35"/>
    </row>
    <row r="91" spans="2:9" x14ac:dyDescent="0.3">
      <c r="B91" s="35"/>
      <c r="C91" s="35"/>
      <c r="D91" s="35"/>
      <c r="E91" s="35"/>
    </row>
    <row r="92" spans="2:9" x14ac:dyDescent="0.3">
      <c r="B92" s="35"/>
      <c r="C92" s="35"/>
      <c r="D92" s="35"/>
      <c r="E92" s="3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tabSelected="1" topLeftCell="B1" zoomScaleNormal="100" workbookViewId="0">
      <pane ySplit="6" topLeftCell="A7" activePane="bottomLeft" state="frozen"/>
      <selection activeCell="C20" sqref="C20"/>
      <selection pane="bottomLeft" activeCell="B6" sqref="B6:N29"/>
    </sheetView>
  </sheetViews>
  <sheetFormatPr defaultRowHeight="14.4" x14ac:dyDescent="0.3"/>
  <cols>
    <col min="1" max="1" width="44.44140625" bestFit="1" customWidth="1"/>
    <col min="2" max="3" width="13" style="35" bestFit="1" customWidth="1"/>
    <col min="4" max="4" width="13.44140625" style="35" bestFit="1" customWidth="1"/>
    <col min="5" max="13" width="13" style="35" bestFit="1" customWidth="1"/>
    <col min="14" max="14" width="13.44140625" style="35" bestFit="1" customWidth="1"/>
    <col min="15" max="15" width="9.109375" style="35" customWidth="1"/>
    <col min="16" max="16" width="9.5546875" bestFit="1" customWidth="1"/>
    <col min="18" max="18" width="11.5546875" bestFit="1" customWidth="1"/>
  </cols>
  <sheetData>
    <row r="1" spans="1:14" x14ac:dyDescent="0.3">
      <c r="A1" s="176" t="s">
        <v>417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8" spans="1:14" s="35" customFormat="1" x14ac:dyDescent="0.3">
      <c r="A8" s="28" t="s">
        <v>209</v>
      </c>
    </row>
    <row r="9" spans="1:14" s="35" customFormat="1" x14ac:dyDescent="0.3">
      <c r="A9" s="28" t="s">
        <v>288</v>
      </c>
    </row>
    <row r="10" spans="1:14" s="35" customFormat="1" x14ac:dyDescent="0.3">
      <c r="A10" t="s">
        <v>356</v>
      </c>
      <c r="B10" s="35">
        <v>0</v>
      </c>
      <c r="C10" s="35">
        <v>0</v>
      </c>
      <c r="D10" s="35">
        <v>0</v>
      </c>
      <c r="E10" s="35">
        <v>520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f>SUM(B10:M10)</f>
        <v>520</v>
      </c>
    </row>
    <row r="11" spans="1:14" s="35" customFormat="1" x14ac:dyDescent="0.3">
      <c r="A11" t="s">
        <v>292</v>
      </c>
      <c r="B11" s="35">
        <v>14678.56</v>
      </c>
      <c r="C11" s="35">
        <v>14704</v>
      </c>
      <c r="D11" s="35">
        <v>14704</v>
      </c>
      <c r="E11" s="35">
        <v>14704</v>
      </c>
      <c r="F11" s="35">
        <v>14704</v>
      </c>
      <c r="G11" s="35">
        <v>14704</v>
      </c>
      <c r="H11" s="35">
        <v>14704</v>
      </c>
      <c r="I11" s="35">
        <v>14665.08</v>
      </c>
      <c r="J11" s="35">
        <v>14665.08</v>
      </c>
      <c r="K11" s="35">
        <v>14903.12</v>
      </c>
      <c r="L11" s="35">
        <v>14801.11</v>
      </c>
      <c r="M11" s="35">
        <v>14897.01</v>
      </c>
      <c r="N11" s="35">
        <f>SUM(B11:M11)</f>
        <v>176833.96000000002</v>
      </c>
    </row>
    <row r="12" spans="1:14" s="35" customFormat="1" x14ac:dyDescent="0.3">
      <c r="A12" s="28" t="s">
        <v>334</v>
      </c>
      <c r="B12" s="37">
        <f t="shared" ref="B12:N12" si="0">SUM(B10:B11)</f>
        <v>14678.56</v>
      </c>
      <c r="C12" s="37">
        <f t="shared" si="0"/>
        <v>14704</v>
      </c>
      <c r="D12" s="37">
        <f t="shared" si="0"/>
        <v>14704</v>
      </c>
      <c r="E12" s="37">
        <f t="shared" si="0"/>
        <v>15224</v>
      </c>
      <c r="F12" s="37">
        <f>SUM(F10:F11)</f>
        <v>14704</v>
      </c>
      <c r="G12" s="37">
        <f>SUM(G10:G11)</f>
        <v>14704</v>
      </c>
      <c r="H12" s="37">
        <f t="shared" ref="H12:L12" si="1">SUM(H10:H11)</f>
        <v>14704</v>
      </c>
      <c r="I12" s="37">
        <f t="shared" si="1"/>
        <v>14665.08</v>
      </c>
      <c r="J12" s="37">
        <f t="shared" si="1"/>
        <v>14665.08</v>
      </c>
      <c r="K12" s="37">
        <f t="shared" si="1"/>
        <v>14903.12</v>
      </c>
      <c r="L12" s="37">
        <f t="shared" si="1"/>
        <v>14801.11</v>
      </c>
      <c r="M12" s="37">
        <f t="shared" si="0"/>
        <v>14897.01</v>
      </c>
      <c r="N12" s="37">
        <f t="shared" si="0"/>
        <v>177353.96000000002</v>
      </c>
    </row>
    <row r="14" spans="1:14" s="35" customFormat="1" x14ac:dyDescent="0.3">
      <c r="A14" s="28" t="s">
        <v>293</v>
      </c>
    </row>
    <row r="15" spans="1:14" s="35" customFormat="1" x14ac:dyDescent="0.3">
      <c r="A15" t="s">
        <v>360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2550</v>
      </c>
      <c r="L15" s="35">
        <v>0</v>
      </c>
      <c r="M15" s="35">
        <v>0</v>
      </c>
      <c r="N15" s="35">
        <f>SUM(B15:M15)</f>
        <v>2550</v>
      </c>
    </row>
    <row r="16" spans="1:14" s="35" customFormat="1" x14ac:dyDescent="0.3">
      <c r="A16" t="s">
        <v>441</v>
      </c>
      <c r="B16" s="35">
        <v>78.37</v>
      </c>
      <c r="C16" s="35">
        <v>78.38</v>
      </c>
      <c r="D16" s="35">
        <v>84.61</v>
      </c>
      <c r="E16" s="35">
        <v>78.400000000000006</v>
      </c>
      <c r="F16" s="35">
        <v>82.39</v>
      </c>
      <c r="G16" s="35">
        <v>78.48</v>
      </c>
      <c r="H16" s="35">
        <v>80.56</v>
      </c>
      <c r="I16" s="35">
        <v>61.32</v>
      </c>
      <c r="J16" s="35">
        <v>91.96</v>
      </c>
      <c r="K16" s="35">
        <v>77.11</v>
      </c>
      <c r="L16" s="35">
        <v>89.15</v>
      </c>
      <c r="M16" s="35">
        <v>74.52</v>
      </c>
      <c r="N16" s="35">
        <f>SUM(B16:M16)</f>
        <v>955.25000000000011</v>
      </c>
    </row>
    <row r="17" spans="1:15" s="35" customFormat="1" x14ac:dyDescent="0.3">
      <c r="A17" s="28" t="s">
        <v>296</v>
      </c>
      <c r="B17" s="37">
        <f>SUM(B15:B16)</f>
        <v>78.37</v>
      </c>
      <c r="C17" s="37">
        <f t="shared" ref="C17:M17" si="2">SUM(C15:C16)</f>
        <v>78.38</v>
      </c>
      <c r="D17" s="37">
        <f t="shared" si="2"/>
        <v>84.61</v>
      </c>
      <c r="E17" s="37">
        <f t="shared" si="2"/>
        <v>78.400000000000006</v>
      </c>
      <c r="F17" s="37">
        <f>SUM(F15:F16)</f>
        <v>82.39</v>
      </c>
      <c r="G17" s="37">
        <f>SUM(G15:G16)</f>
        <v>78.48</v>
      </c>
      <c r="H17" s="37">
        <f t="shared" ref="H17:L17" si="3">SUM(H15:H16)</f>
        <v>80.56</v>
      </c>
      <c r="I17" s="37">
        <f t="shared" si="3"/>
        <v>61.32</v>
      </c>
      <c r="J17" s="37">
        <f t="shared" si="3"/>
        <v>91.96</v>
      </c>
      <c r="K17" s="37">
        <f t="shared" si="3"/>
        <v>2627.11</v>
      </c>
      <c r="L17" s="37">
        <f t="shared" si="3"/>
        <v>89.15</v>
      </c>
      <c r="M17" s="37">
        <f t="shared" si="2"/>
        <v>74.52</v>
      </c>
      <c r="N17" s="37">
        <f>SUM(N15:N16)</f>
        <v>3505.25</v>
      </c>
    </row>
    <row r="18" spans="1:15" s="35" customFormat="1" x14ac:dyDescent="0.3">
      <c r="A18" t="s">
        <v>245</v>
      </c>
    </row>
    <row r="19" spans="1:15" s="35" customFormat="1" ht="15" thickBot="1" x14ac:dyDescent="0.35">
      <c r="A19" s="28" t="s">
        <v>210</v>
      </c>
      <c r="B19" s="38">
        <f t="shared" ref="B19:N19" si="4">B12+B17</f>
        <v>14756.93</v>
      </c>
      <c r="C19" s="38">
        <f t="shared" si="4"/>
        <v>14782.38</v>
      </c>
      <c r="D19" s="38">
        <f t="shared" si="4"/>
        <v>14788.61</v>
      </c>
      <c r="E19" s="38">
        <f t="shared" si="4"/>
        <v>15302.4</v>
      </c>
      <c r="F19" s="38">
        <f>F12+F17</f>
        <v>14786.39</v>
      </c>
      <c r="G19" s="38">
        <f>G12+G17</f>
        <v>14782.48</v>
      </c>
      <c r="H19" s="38">
        <f t="shared" ref="H19:L19" si="5">H12+H17</f>
        <v>14784.56</v>
      </c>
      <c r="I19" s="38">
        <f t="shared" si="5"/>
        <v>14726.4</v>
      </c>
      <c r="J19" s="38">
        <f t="shared" si="5"/>
        <v>14757.039999999999</v>
      </c>
      <c r="K19" s="38">
        <f t="shared" si="5"/>
        <v>17530.23</v>
      </c>
      <c r="L19" s="38">
        <f t="shared" si="5"/>
        <v>14890.26</v>
      </c>
      <c r="M19" s="38">
        <f t="shared" si="4"/>
        <v>14971.53</v>
      </c>
      <c r="N19" s="38">
        <f t="shared" si="4"/>
        <v>180859.21000000002</v>
      </c>
    </row>
    <row r="21" spans="1:15" s="35" customFormat="1" x14ac:dyDescent="0.3">
      <c r="A21" s="28" t="s">
        <v>297</v>
      </c>
    </row>
    <row r="22" spans="1:15" s="35" customFormat="1" x14ac:dyDescent="0.3">
      <c r="A22" t="s">
        <v>442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25000</v>
      </c>
      <c r="I22" s="35">
        <v>25000</v>
      </c>
      <c r="J22" s="35">
        <v>25000</v>
      </c>
      <c r="K22" s="35">
        <v>25000</v>
      </c>
      <c r="L22" s="35">
        <v>25000</v>
      </c>
      <c r="M22" s="35">
        <v>25000</v>
      </c>
      <c r="N22" s="35">
        <f>SUM(B22:M22)</f>
        <v>150000</v>
      </c>
    </row>
    <row r="23" spans="1:15" s="35" customFormat="1" x14ac:dyDescent="0.3">
      <c r="A23" t="s">
        <v>465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f>92500-25000</f>
        <v>67500</v>
      </c>
      <c r="K23" s="35">
        <v>7500</v>
      </c>
      <c r="L23" s="35">
        <v>7500</v>
      </c>
      <c r="M23" s="35">
        <v>7500</v>
      </c>
      <c r="N23" s="35">
        <f>SUM(B23:M23)</f>
        <v>90000</v>
      </c>
    </row>
    <row r="24" spans="1:15" s="35" customFormat="1" x14ac:dyDescent="0.3">
      <c r="A24" t="s">
        <v>489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f>SUM(B24:M24)</f>
        <v>0</v>
      </c>
    </row>
    <row r="25" spans="1:15" s="35" customFormat="1" x14ac:dyDescent="0.3">
      <c r="A25" t="s">
        <v>270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f>SUM(B25:M25)</f>
        <v>0</v>
      </c>
    </row>
    <row r="26" spans="1:15" s="35" customFormat="1" x14ac:dyDescent="0.3">
      <c r="A26" t="s">
        <v>271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-138.88999999999999</v>
      </c>
      <c r="L26" s="35">
        <v>-208.33</v>
      </c>
      <c r="M26" s="35">
        <v>-215.28</v>
      </c>
      <c r="N26" s="70">
        <f>SUM(B26:M26)</f>
        <v>-562.5</v>
      </c>
    </row>
    <row r="27" spans="1:15" s="35" customFormat="1" x14ac:dyDescent="0.3">
      <c r="A27" s="28" t="s">
        <v>299</v>
      </c>
      <c r="B27" s="37">
        <f t="shared" ref="B27:N27" si="6">SUM(B22:B26)</f>
        <v>0</v>
      </c>
      <c r="C27" s="37">
        <f t="shared" si="6"/>
        <v>0</v>
      </c>
      <c r="D27" s="37">
        <f t="shared" si="6"/>
        <v>0</v>
      </c>
      <c r="E27" s="37">
        <f t="shared" si="6"/>
        <v>0</v>
      </c>
      <c r="F27" s="37">
        <f>SUM(F22:F26)</f>
        <v>0</v>
      </c>
      <c r="G27" s="37">
        <f>SUM(G22:G26)</f>
        <v>0</v>
      </c>
      <c r="H27" s="37">
        <f t="shared" ref="H27:L27" si="7">SUM(H22:H26)</f>
        <v>25000</v>
      </c>
      <c r="I27" s="37">
        <f t="shared" si="7"/>
        <v>25000</v>
      </c>
      <c r="J27" s="37">
        <f t="shared" si="7"/>
        <v>92500</v>
      </c>
      <c r="K27" s="37">
        <f t="shared" si="7"/>
        <v>32361.11</v>
      </c>
      <c r="L27" s="37">
        <f t="shared" si="7"/>
        <v>32291.67</v>
      </c>
      <c r="M27" s="37">
        <f t="shared" si="6"/>
        <v>32284.720000000001</v>
      </c>
      <c r="N27" s="37">
        <f t="shared" si="6"/>
        <v>239437.5</v>
      </c>
    </row>
    <row r="29" spans="1:15" ht="15" thickBot="1" x14ac:dyDescent="0.35">
      <c r="A29" s="28" t="s">
        <v>300</v>
      </c>
      <c r="B29" s="39">
        <f>B27-B19</f>
        <v>-14756.93</v>
      </c>
      <c r="C29" s="39">
        <f t="shared" ref="C29:N29" si="8">C27-C19</f>
        <v>-14782.38</v>
      </c>
      <c r="D29" s="39">
        <f t="shared" si="8"/>
        <v>-14788.61</v>
      </c>
      <c r="E29" s="39">
        <f t="shared" si="8"/>
        <v>-15302.4</v>
      </c>
      <c r="F29" s="39">
        <f>F27-F19</f>
        <v>-14786.39</v>
      </c>
      <c r="G29" s="39">
        <f>G27-G19</f>
        <v>-14782.48</v>
      </c>
      <c r="H29" s="39">
        <f t="shared" ref="H29:L29" si="9">H27-H19</f>
        <v>10215.44</v>
      </c>
      <c r="I29" s="39">
        <f t="shared" si="9"/>
        <v>10273.6</v>
      </c>
      <c r="J29" s="39">
        <f t="shared" si="9"/>
        <v>77742.960000000006</v>
      </c>
      <c r="K29" s="39">
        <f t="shared" si="9"/>
        <v>14830.880000000001</v>
      </c>
      <c r="L29" s="39">
        <f t="shared" si="9"/>
        <v>17401.409999999996</v>
      </c>
      <c r="M29" s="39">
        <f t="shared" si="8"/>
        <v>17313.190000000002</v>
      </c>
      <c r="N29" s="39">
        <f t="shared" si="8"/>
        <v>58578.289999999979</v>
      </c>
      <c r="O29"/>
    </row>
    <row r="30" spans="1:15" ht="15" thickTop="1" x14ac:dyDescent="0.3"/>
    <row r="31" spans="1:15" x14ac:dyDescent="0.3">
      <c r="J31" s="35">
        <v>0</v>
      </c>
      <c r="K31" s="35">
        <v>0</v>
      </c>
      <c r="L31" s="35">
        <v>0</v>
      </c>
      <c r="M31" s="3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61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Q291"/>
  <sheetViews>
    <sheetView zoomScale="110" zoomScaleNormal="110" workbookViewId="0">
      <pane xSplit="1" ySplit="4" topLeftCell="J5" activePane="bottomRight" state="frozen"/>
      <selection activeCell="C20" sqref="C20"/>
      <selection pane="topRight" activeCell="C20" sqref="C20"/>
      <selection pane="bottomLeft" activeCell="C20" sqref="C20"/>
      <selection pane="bottomRight" activeCell="B1" sqref="B1:M1048576"/>
    </sheetView>
  </sheetViews>
  <sheetFormatPr defaultColWidth="9.109375" defaultRowHeight="14.4" x14ac:dyDescent="0.3"/>
  <cols>
    <col min="1" max="1" width="88.5546875" style="73" bestFit="1" customWidth="1"/>
    <col min="2" max="2" width="22.44140625" style="1" customWidth="1"/>
    <col min="3" max="3" width="24" customWidth="1"/>
    <col min="4" max="4" width="24.33203125" customWidth="1"/>
    <col min="5" max="6" width="25.109375" customWidth="1"/>
    <col min="7" max="7" width="24" customWidth="1"/>
    <col min="8" max="9" width="23.44140625" customWidth="1"/>
    <col min="10" max="11" width="23" customWidth="1"/>
    <col min="12" max="13" width="25.5546875" customWidth="1"/>
    <col min="14" max="14" width="26.33203125" customWidth="1"/>
    <col min="15" max="15" width="12.5546875" bestFit="1" customWidth="1"/>
    <col min="16" max="17" width="26.33203125" hidden="1" customWidth="1"/>
  </cols>
  <sheetData>
    <row r="1" spans="1:17" ht="18" x14ac:dyDescent="0.35">
      <c r="A1" s="72" t="s">
        <v>0</v>
      </c>
    </row>
    <row r="2" spans="1:17" ht="18.600000000000001" thickBot="1" x14ac:dyDescent="0.4">
      <c r="A2" s="72"/>
      <c r="I2">
        <v>0</v>
      </c>
    </row>
    <row r="3" spans="1:17" ht="15" thickBot="1" x14ac:dyDescent="0.35">
      <c r="B3" s="2">
        <v>43131</v>
      </c>
      <c r="C3" s="2">
        <v>43159</v>
      </c>
      <c r="D3" s="2">
        <v>43190</v>
      </c>
      <c r="E3" s="2">
        <v>43220</v>
      </c>
      <c r="F3" s="2">
        <v>43251</v>
      </c>
      <c r="G3" s="2">
        <v>43281</v>
      </c>
      <c r="H3" s="2">
        <v>43312</v>
      </c>
      <c r="I3" s="2">
        <v>43343</v>
      </c>
      <c r="J3" s="2">
        <v>43373</v>
      </c>
      <c r="K3" s="2">
        <v>43404</v>
      </c>
      <c r="L3" s="2">
        <v>43434</v>
      </c>
      <c r="M3" s="2">
        <v>43465</v>
      </c>
      <c r="N3" s="3" t="s">
        <v>1</v>
      </c>
      <c r="P3" s="3" t="s">
        <v>2</v>
      </c>
      <c r="Q3" s="3" t="s">
        <v>3</v>
      </c>
    </row>
    <row r="4" spans="1:17" ht="15" thickBot="1" x14ac:dyDescent="0.35">
      <c r="A4" s="74" t="s">
        <v>4</v>
      </c>
      <c r="P4" s="3" t="s">
        <v>5</v>
      </c>
      <c r="Q4" s="3" t="s">
        <v>6</v>
      </c>
    </row>
    <row r="5" spans="1:17" x14ac:dyDescent="0.3">
      <c r="A5" s="73" t="s">
        <v>7</v>
      </c>
      <c r="B5" s="1">
        <f t="shared" ref="B5:E6" si="0">+B107+B118</f>
        <v>154563428.67000002</v>
      </c>
      <c r="C5" s="1">
        <f t="shared" si="0"/>
        <v>109601727.78999999</v>
      </c>
      <c r="D5" s="1">
        <f>+D107+D118</f>
        <v>101069868.19</v>
      </c>
      <c r="E5" s="1">
        <f>+E107+E118</f>
        <v>92671539.059999987</v>
      </c>
      <c r="F5" s="1">
        <f>+F107+F118</f>
        <v>94258757.019999996</v>
      </c>
      <c r="G5" s="1">
        <f t="shared" ref="G5:J8" si="1">G107+G118</f>
        <v>92781088.61999999</v>
      </c>
      <c r="H5" s="1">
        <f t="shared" si="1"/>
        <v>122616849.06</v>
      </c>
      <c r="I5" s="1">
        <f t="shared" si="1"/>
        <v>126398264.86999999</v>
      </c>
      <c r="J5" s="1">
        <f t="shared" si="1"/>
        <v>93678610.930000007</v>
      </c>
      <c r="K5" s="1">
        <f t="shared" ref="K5:L5" si="2">K107+K118</f>
        <v>83905128.570000008</v>
      </c>
      <c r="L5" s="1">
        <f t="shared" si="2"/>
        <v>78681236.390000001</v>
      </c>
      <c r="M5" s="1">
        <f t="shared" ref="M5" si="3">M107+M118</f>
        <v>58555297.399999999</v>
      </c>
      <c r="N5" s="1">
        <f>SUM(B5:M5)</f>
        <v>1208781796.5700002</v>
      </c>
      <c r="P5" s="1">
        <f t="shared" ref="P5:P73" si="4">(N5-M5)/11</f>
        <v>104566045.37909092</v>
      </c>
      <c r="Q5" s="1">
        <f t="shared" ref="Q5:Q73" si="5">M5-P5</f>
        <v>-46010747.979090922</v>
      </c>
    </row>
    <row r="6" spans="1:17" x14ac:dyDescent="0.3">
      <c r="A6" s="73" t="s">
        <v>8</v>
      </c>
      <c r="B6" s="1">
        <f t="shared" si="0"/>
        <v>424529753.21999997</v>
      </c>
      <c r="C6" s="1">
        <f t="shared" si="0"/>
        <v>1212317398.3500001</v>
      </c>
      <c r="D6" s="1">
        <f>+D108+D119</f>
        <v>305312522.13</v>
      </c>
      <c r="E6" s="1">
        <f t="shared" si="0"/>
        <v>46941731.32</v>
      </c>
      <c r="F6" s="1">
        <f>+F108+F119</f>
        <v>115060805.22</v>
      </c>
      <c r="G6" s="1">
        <f t="shared" si="1"/>
        <v>260963733.31999999</v>
      </c>
      <c r="H6" s="1">
        <f t="shared" si="1"/>
        <v>166703405.97</v>
      </c>
      <c r="I6" s="1">
        <f t="shared" si="1"/>
        <v>324765702.82999998</v>
      </c>
      <c r="J6" s="1">
        <f t="shared" si="1"/>
        <v>239385553.34999999</v>
      </c>
      <c r="K6" s="1">
        <f t="shared" ref="K6:L6" si="6">K108+K119</f>
        <v>61006487.299999997</v>
      </c>
      <c r="L6" s="1">
        <f t="shared" si="6"/>
        <v>139341371.03999999</v>
      </c>
      <c r="M6" s="1">
        <f t="shared" ref="M6" si="7">M108+M119</f>
        <v>124404372.59</v>
      </c>
      <c r="N6" s="1">
        <f t="shared" ref="N6:N10" si="8">SUM(B6:M6)</f>
        <v>3420732836.6400003</v>
      </c>
      <c r="P6" s="1">
        <f t="shared" si="4"/>
        <v>299666224.00454545</v>
      </c>
      <c r="Q6" s="1">
        <f t="shared" si="5"/>
        <v>-175261851.41454545</v>
      </c>
    </row>
    <row r="7" spans="1:17" x14ac:dyDescent="0.3">
      <c r="A7" s="73" t="s">
        <v>9</v>
      </c>
      <c r="B7" s="1">
        <f>B109+B120</f>
        <v>2884704.37</v>
      </c>
      <c r="C7" s="1">
        <f>C109+C120</f>
        <v>2596535.7200000002</v>
      </c>
      <c r="D7" s="1">
        <f>D109+D120</f>
        <v>622399.88</v>
      </c>
      <c r="E7" s="1">
        <f>E109+E120</f>
        <v>1945746.84</v>
      </c>
      <c r="F7" s="1">
        <f>F109+F120</f>
        <v>1927944.8</v>
      </c>
      <c r="G7" s="1">
        <f t="shared" si="1"/>
        <v>474866.98</v>
      </c>
      <c r="H7" s="1">
        <f t="shared" si="1"/>
        <v>1059505.05</v>
      </c>
      <c r="I7" s="1">
        <f t="shared" si="1"/>
        <v>1450642.34</v>
      </c>
      <c r="J7" s="1">
        <f t="shared" si="1"/>
        <v>319490.71999999997</v>
      </c>
      <c r="K7" s="1">
        <f t="shared" ref="K7:L7" si="9">K109+K120</f>
        <v>210539.64</v>
      </c>
      <c r="L7" s="1">
        <f t="shared" si="9"/>
        <v>2119802.66</v>
      </c>
      <c r="M7" s="1">
        <f t="shared" ref="M7" si="10">M109+M120</f>
        <v>1151011.7</v>
      </c>
      <c r="N7" s="1">
        <f t="shared" si="8"/>
        <v>16763190.700000001</v>
      </c>
      <c r="P7" s="1">
        <f t="shared" si="4"/>
        <v>1419289.0000000002</v>
      </c>
      <c r="Q7" s="1">
        <f t="shared" si="5"/>
        <v>-268277.30000000028</v>
      </c>
    </row>
    <row r="8" spans="1:17" x14ac:dyDescent="0.3">
      <c r="A8" s="73" t="s">
        <v>10</v>
      </c>
      <c r="B8" s="1">
        <f>+B110</f>
        <v>3238349</v>
      </c>
      <c r="C8" s="1">
        <f>+C110</f>
        <v>1478660.42</v>
      </c>
      <c r="D8" s="1">
        <f>+D110+D121</f>
        <v>1427673</v>
      </c>
      <c r="E8" s="1">
        <f>+E110</f>
        <v>2167697.4500000002</v>
      </c>
      <c r="F8" s="1">
        <f>+F110</f>
        <v>847867.6</v>
      </c>
      <c r="G8" s="1">
        <f t="shared" si="1"/>
        <v>784960.5</v>
      </c>
      <c r="H8" s="1">
        <f t="shared" si="1"/>
        <v>518684.94</v>
      </c>
      <c r="I8" s="1">
        <f t="shared" si="1"/>
        <v>749745</v>
      </c>
      <c r="J8" s="1">
        <f t="shared" si="1"/>
        <v>593767</v>
      </c>
      <c r="K8" s="1">
        <f t="shared" ref="K8:L8" si="11">K110+K121</f>
        <v>2838661.13</v>
      </c>
      <c r="L8" s="1">
        <f t="shared" si="11"/>
        <v>1687433.35</v>
      </c>
      <c r="M8" s="1">
        <f t="shared" ref="M8" si="12">M110+M121</f>
        <v>5351119</v>
      </c>
      <c r="N8" s="1">
        <f t="shared" si="8"/>
        <v>21684618.390000001</v>
      </c>
      <c r="P8" s="1">
        <f t="shared" si="4"/>
        <v>1484863.580909091</v>
      </c>
      <c r="Q8" s="1">
        <f t="shared" si="5"/>
        <v>3866255.419090909</v>
      </c>
    </row>
    <row r="9" spans="1:17" x14ac:dyDescent="0.3">
      <c r="A9" s="73" t="s">
        <v>11</v>
      </c>
      <c r="B9" s="1">
        <f t="shared" ref="B9:J9" si="13">+B114+B124</f>
        <v>85825</v>
      </c>
      <c r="C9" s="1">
        <f t="shared" si="13"/>
        <v>579872.5</v>
      </c>
      <c r="D9" s="1">
        <f t="shared" si="13"/>
        <v>108078.75</v>
      </c>
      <c r="E9" s="1">
        <f t="shared" si="13"/>
        <v>903549.14</v>
      </c>
      <c r="F9" s="1">
        <f t="shared" si="13"/>
        <v>310999.59999999998</v>
      </c>
      <c r="G9" s="1">
        <f t="shared" si="13"/>
        <v>1246220.98</v>
      </c>
      <c r="H9" s="1">
        <f t="shared" si="13"/>
        <v>454175</v>
      </c>
      <c r="I9" s="1">
        <f t="shared" si="13"/>
        <v>875445</v>
      </c>
      <c r="J9" s="1">
        <f t="shared" si="13"/>
        <v>458565</v>
      </c>
      <c r="K9" s="1">
        <f t="shared" ref="K9:L9" si="14">+K114+K124</f>
        <v>664960</v>
      </c>
      <c r="L9" s="1">
        <f t="shared" si="14"/>
        <v>620675</v>
      </c>
      <c r="M9" s="1">
        <f t="shared" ref="M9" si="15">+M114+M124</f>
        <v>417215</v>
      </c>
      <c r="N9" s="1">
        <f t="shared" si="8"/>
        <v>6725580.9700000007</v>
      </c>
      <c r="P9" s="1">
        <f t="shared" si="4"/>
        <v>573487.81545454555</v>
      </c>
      <c r="Q9" s="1">
        <f t="shared" si="5"/>
        <v>-156272.81545454555</v>
      </c>
    </row>
    <row r="10" spans="1:17" x14ac:dyDescent="0.3">
      <c r="A10" s="73" t="s">
        <v>12</v>
      </c>
      <c r="C10" s="1"/>
      <c r="D10" s="1"/>
      <c r="E10" s="1">
        <f>E125+E127</f>
        <v>292312.5</v>
      </c>
      <c r="F10" s="1">
        <f>F125+F127</f>
        <v>0</v>
      </c>
      <c r="G10" s="1">
        <f>G125+G127</f>
        <v>1845</v>
      </c>
      <c r="H10" s="1">
        <f>H125+H127</f>
        <v>161476.78</v>
      </c>
      <c r="I10" s="1">
        <f>I125+I127+I128+I126</f>
        <v>138951.82999999999</v>
      </c>
      <c r="J10" s="1">
        <f>J125+J127+J128+J126</f>
        <v>2028039.81</v>
      </c>
      <c r="K10" s="1">
        <f>K125+K127+K128+K126</f>
        <v>1609511.6</v>
      </c>
      <c r="L10" s="1">
        <f>L125+L127+L128+L126</f>
        <v>3133630.18</v>
      </c>
      <c r="M10" s="1">
        <f>M125+M127+M128+M126</f>
        <v>3034090.86</v>
      </c>
      <c r="N10" s="1">
        <f t="shared" si="8"/>
        <v>10399858.559999999</v>
      </c>
      <c r="P10" s="1"/>
      <c r="Q10" s="1"/>
    </row>
    <row r="11" spans="1:17" x14ac:dyDescent="0.3">
      <c r="B11" s="4">
        <f>SUM(B5:B10)</f>
        <v>585302060.25999999</v>
      </c>
      <c r="C11" s="4">
        <f>SUM(C5:C10)</f>
        <v>1326574194.7800002</v>
      </c>
      <c r="D11" s="4">
        <f>SUM(D5:D10)</f>
        <v>408540541.94999999</v>
      </c>
      <c r="E11" s="4">
        <f>SUM(E5:E10)</f>
        <v>144922576.30999997</v>
      </c>
      <c r="F11" s="4">
        <f t="shared" ref="F11:M11" si="16">SUM(F5:F10)</f>
        <v>212406374.24000001</v>
      </c>
      <c r="G11" s="4">
        <f t="shared" si="16"/>
        <v>356252715.40000004</v>
      </c>
      <c r="H11" s="4">
        <f>SUM(H5:H10)</f>
        <v>291514096.79999995</v>
      </c>
      <c r="I11" s="4">
        <f>SUM(I5:I10)</f>
        <v>454378751.86999995</v>
      </c>
      <c r="J11" s="4">
        <f t="shared" si="16"/>
        <v>336464026.81</v>
      </c>
      <c r="K11" s="4">
        <f t="shared" si="16"/>
        <v>150235288.23999998</v>
      </c>
      <c r="L11" s="4">
        <f t="shared" si="16"/>
        <v>225584148.62</v>
      </c>
      <c r="M11" s="4">
        <f t="shared" si="16"/>
        <v>192913106.55000001</v>
      </c>
      <c r="N11" s="4">
        <f>SUM(N5:N10)</f>
        <v>4685087881.8300018</v>
      </c>
      <c r="P11" s="4">
        <f t="shared" si="4"/>
        <v>408379525.0254547</v>
      </c>
      <c r="Q11" s="4">
        <f t="shared" si="5"/>
        <v>-215466418.47545469</v>
      </c>
    </row>
    <row r="12" spans="1:17" x14ac:dyDescent="0.3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P12">
        <f t="shared" si="4"/>
        <v>0</v>
      </c>
      <c r="Q12">
        <f t="shared" si="5"/>
        <v>0</v>
      </c>
    </row>
    <row r="13" spans="1:17" x14ac:dyDescent="0.3">
      <c r="A13" s="74" t="s">
        <v>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P13">
        <f t="shared" si="4"/>
        <v>0</v>
      </c>
      <c r="Q13">
        <f t="shared" si="5"/>
        <v>0</v>
      </c>
    </row>
    <row r="14" spans="1:17" x14ac:dyDescent="0.3">
      <c r="A14" s="73" t="s">
        <v>14</v>
      </c>
      <c r="B14" s="1">
        <f t="shared" ref="B14:F17" si="17">+B138+B163+B170</f>
        <v>157842383.69</v>
      </c>
      <c r="C14" s="1">
        <f t="shared" si="17"/>
        <v>108846154.46000001</v>
      </c>
      <c r="D14" s="1">
        <f t="shared" si="17"/>
        <v>100906197.60999998</v>
      </c>
      <c r="E14" s="1">
        <f t="shared" si="17"/>
        <v>92373678.780000001</v>
      </c>
      <c r="F14" s="1">
        <f t="shared" si="17"/>
        <v>94255718.569999993</v>
      </c>
      <c r="G14" s="1">
        <f>G138+G163+G170</f>
        <v>92265888.5</v>
      </c>
      <c r="H14" s="1">
        <f t="shared" ref="H14:I17" si="18">H138+H163+H170</f>
        <v>124048206.41999999</v>
      </c>
      <c r="I14" s="1">
        <f t="shared" si="18"/>
        <v>127634931.13</v>
      </c>
      <c r="J14" s="1">
        <f t="shared" ref="J14:K14" si="19">J138+J163+J170</f>
        <v>93996436.060000002</v>
      </c>
      <c r="K14" s="1">
        <f t="shared" si="19"/>
        <v>83008415.149999991</v>
      </c>
      <c r="L14" s="1">
        <f t="shared" ref="L14:M14" si="20">L138+L163+L170</f>
        <v>78594642.269999996</v>
      </c>
      <c r="M14" s="1">
        <f t="shared" si="20"/>
        <v>58236235.720000006</v>
      </c>
      <c r="N14" s="1">
        <f t="shared" ref="N14:N20" si="21">SUM(B14:M14)</f>
        <v>1212008888.3599999</v>
      </c>
      <c r="P14" s="1">
        <f t="shared" si="4"/>
        <v>104888422.96727271</v>
      </c>
      <c r="Q14" s="1">
        <f t="shared" si="5"/>
        <v>-46652187.247272708</v>
      </c>
    </row>
    <row r="15" spans="1:17" x14ac:dyDescent="0.3">
      <c r="A15" s="73" t="s">
        <v>15</v>
      </c>
      <c r="B15" s="1">
        <f t="shared" si="17"/>
        <v>422465521.94999993</v>
      </c>
      <c r="C15" s="1">
        <f t="shared" si="17"/>
        <v>1215546261.6300001</v>
      </c>
      <c r="D15" s="1">
        <f t="shared" si="17"/>
        <v>305678068.99000001</v>
      </c>
      <c r="E15" s="1">
        <f t="shared" si="17"/>
        <v>48482029.219999999</v>
      </c>
      <c r="F15" s="1">
        <f t="shared" si="17"/>
        <v>116507251.69</v>
      </c>
      <c r="G15" s="1">
        <f>G139+G164+G171</f>
        <v>262380283.97</v>
      </c>
      <c r="H15" s="1">
        <f t="shared" ref="H15" si="22">H139+H164+H171</f>
        <v>169287706.25999999</v>
      </c>
      <c r="I15" s="1">
        <f t="shared" si="18"/>
        <v>327625512.15999997</v>
      </c>
      <c r="J15" s="1">
        <f t="shared" ref="J15:K15" si="23">J139+J164+J171</f>
        <v>243891316.29999998</v>
      </c>
      <c r="K15" s="1">
        <f t="shared" si="23"/>
        <v>60177181.419999994</v>
      </c>
      <c r="L15" s="1">
        <f t="shared" ref="L15:M15" si="24">L139+L164+L171</f>
        <v>141374227.26999998</v>
      </c>
      <c r="M15" s="1">
        <f t="shared" si="24"/>
        <v>123305362.91</v>
      </c>
      <c r="N15" s="1">
        <f t="shared" si="21"/>
        <v>3436720723.77</v>
      </c>
      <c r="P15" s="1">
        <f t="shared" si="4"/>
        <v>301219578.25999999</v>
      </c>
      <c r="Q15" s="1">
        <f t="shared" si="5"/>
        <v>-177914215.34999999</v>
      </c>
    </row>
    <row r="16" spans="1:17" x14ac:dyDescent="0.3">
      <c r="A16" s="93" t="s">
        <v>474</v>
      </c>
      <c r="B16" s="1">
        <f t="shared" si="17"/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>G140+G165+G172</f>
        <v>484708.1</v>
      </c>
      <c r="H16" s="1">
        <f t="shared" ref="H16" si="25">H140+H165+H172</f>
        <v>1046932.3900000002</v>
      </c>
      <c r="I16" s="1">
        <f t="shared" si="18"/>
        <v>1505536.0799999998</v>
      </c>
      <c r="J16" s="1">
        <f t="shared" ref="J16:K16" si="26">J140+J165+J172</f>
        <v>401564.48</v>
      </c>
      <c r="K16" s="1">
        <f t="shared" si="26"/>
        <v>210096.02</v>
      </c>
      <c r="L16" s="1">
        <f t="shared" ref="L16:M16" si="27">L140+L165+L172</f>
        <v>1952009.67</v>
      </c>
      <c r="M16" s="1">
        <f t="shared" si="27"/>
        <v>1201513.1299999999</v>
      </c>
      <c r="N16" s="1">
        <f t="shared" si="21"/>
        <v>16752749.379999999</v>
      </c>
      <c r="P16" s="1">
        <f t="shared" si="4"/>
        <v>1413748.75</v>
      </c>
      <c r="Q16" s="1">
        <f t="shared" si="5"/>
        <v>-212235.62000000011</v>
      </c>
    </row>
    <row r="17" spans="1:17" x14ac:dyDescent="0.3">
      <c r="A17" s="73" t="s">
        <v>16</v>
      </c>
      <c r="B17" s="1">
        <f t="shared" si="17"/>
        <v>3972878.5</v>
      </c>
      <c r="C17" s="1">
        <f t="shared" si="17"/>
        <v>1516251.86</v>
      </c>
      <c r="D17" s="1">
        <f t="shared" si="17"/>
        <v>1446310.3</v>
      </c>
      <c r="E17" s="1">
        <f t="shared" si="17"/>
        <v>2111524.9700000002</v>
      </c>
      <c r="F17" s="1">
        <f t="shared" si="17"/>
        <v>836505.07000000007</v>
      </c>
      <c r="G17" s="1">
        <f>G141+G166+G173</f>
        <v>759607.35</v>
      </c>
      <c r="H17" s="1">
        <f t="shared" ref="H17" si="28">H141+H166+H173</f>
        <v>470878.57</v>
      </c>
      <c r="I17" s="1">
        <f t="shared" si="18"/>
        <v>769499.35</v>
      </c>
      <c r="J17" s="1">
        <f t="shared" ref="J17:K17" si="29">J141+J166+J173</f>
        <v>632199.65</v>
      </c>
      <c r="K17" s="1">
        <f t="shared" si="29"/>
        <v>2817866.3699999996</v>
      </c>
      <c r="L17" s="1">
        <f t="shared" ref="L17:M17" si="30">L141+L166+L173</f>
        <v>1676602.18</v>
      </c>
      <c r="M17" s="1">
        <f t="shared" si="30"/>
        <v>5349043.76</v>
      </c>
      <c r="N17" s="1">
        <f t="shared" si="21"/>
        <v>22359167.93</v>
      </c>
      <c r="P17" s="1">
        <f t="shared" si="4"/>
        <v>1546374.9245454548</v>
      </c>
      <c r="Q17" s="1">
        <f t="shared" si="5"/>
        <v>3802668.835454545</v>
      </c>
    </row>
    <row r="18" spans="1:17" x14ac:dyDescent="0.3">
      <c r="A18" s="73" t="s">
        <v>17</v>
      </c>
      <c r="B18" s="1">
        <f>+B144+B179</f>
        <v>103200.43</v>
      </c>
      <c r="C18" s="1">
        <f>+C144+C179</f>
        <v>557565.63</v>
      </c>
      <c r="D18" s="1">
        <f>+D144+D179</f>
        <v>104546.19</v>
      </c>
      <c r="E18" s="1">
        <f>+E144+E179</f>
        <v>891459.31</v>
      </c>
      <c r="F18" s="1">
        <f>+F144+F179</f>
        <v>468362.63</v>
      </c>
      <c r="G18" s="1">
        <f t="shared" ref="G18:L18" si="31">G144+G179+G168</f>
        <v>1064241.21</v>
      </c>
      <c r="H18" s="1">
        <f t="shared" si="31"/>
        <v>433922.20999999996</v>
      </c>
      <c r="I18" s="1">
        <f t="shared" si="31"/>
        <v>851173.99</v>
      </c>
      <c r="J18" s="1">
        <f t="shared" si="31"/>
        <v>441104</v>
      </c>
      <c r="K18" s="1">
        <f t="shared" si="31"/>
        <v>654934.12</v>
      </c>
      <c r="L18" s="1">
        <f t="shared" si="31"/>
        <v>610280.34000000008</v>
      </c>
      <c r="M18" s="1">
        <f t="shared" ref="M18" si="32">M144+M179+M168</f>
        <v>391438.04</v>
      </c>
      <c r="N18" s="1">
        <f t="shared" si="21"/>
        <v>6572228.0999999996</v>
      </c>
      <c r="P18" s="1">
        <f t="shared" si="4"/>
        <v>561890.00545454537</v>
      </c>
      <c r="Q18" s="1">
        <f t="shared" si="5"/>
        <v>-170451.9654545454</v>
      </c>
    </row>
    <row r="19" spans="1:17" x14ac:dyDescent="0.3">
      <c r="A19" s="73" t="s">
        <v>399</v>
      </c>
      <c r="C19" s="1"/>
      <c r="D19" s="1"/>
      <c r="E19" s="1"/>
      <c r="F19" s="1">
        <f>F142</f>
        <v>72</v>
      </c>
      <c r="G19" s="1"/>
      <c r="H19" s="1">
        <f t="shared" ref="H19:M19" si="33">H142+H186</f>
        <v>0</v>
      </c>
      <c r="I19" s="1">
        <f t="shared" si="33"/>
        <v>0</v>
      </c>
      <c r="J19" s="1">
        <f t="shared" si="33"/>
        <v>86.04000000000002</v>
      </c>
      <c r="K19" s="1">
        <f t="shared" si="33"/>
        <v>-142.80000000000001</v>
      </c>
      <c r="L19" s="1">
        <f t="shared" si="33"/>
        <v>-492</v>
      </c>
      <c r="M19" s="1">
        <f t="shared" si="33"/>
        <v>9420.9500000000007</v>
      </c>
      <c r="N19" s="1">
        <f t="shared" si="21"/>
        <v>8944.19</v>
      </c>
      <c r="P19" s="1"/>
      <c r="Q19" s="1"/>
    </row>
    <row r="20" spans="1:17" x14ac:dyDescent="0.3">
      <c r="A20" s="73" t="s">
        <v>12</v>
      </c>
      <c r="C20" s="1"/>
      <c r="D20" s="1"/>
      <c r="E20" s="1">
        <f>E190+E192</f>
        <v>180989.71000000002</v>
      </c>
      <c r="F20" s="1">
        <f>F190+F192</f>
        <v>-0.02</v>
      </c>
      <c r="G20" s="1">
        <f>G190+G192+G196+G195</f>
        <v>1208.02</v>
      </c>
      <c r="H20" s="1">
        <f>H190+H192+H196+H195+H197</f>
        <v>165633.65</v>
      </c>
      <c r="I20" s="1">
        <f>I190+I192+I196+I195+I197+I191+I194</f>
        <v>148231.46</v>
      </c>
      <c r="J20" s="1">
        <f>J190+J192+J196+J195+J197+J191+J194</f>
        <v>2225227.27</v>
      </c>
      <c r="K20" s="1">
        <f>K190+K192+K196+K195+K197+K191+K194</f>
        <v>1271518.28</v>
      </c>
      <c r="L20" s="1">
        <f>L190+L192+L196+L195+L197+L191+L194+L198</f>
        <v>3248265.2199999997</v>
      </c>
      <c r="M20" s="1">
        <f>M190+M192+M196+M195+M197+M191+M194+M198</f>
        <v>2993380.23</v>
      </c>
      <c r="N20" s="1">
        <f t="shared" si="21"/>
        <v>10234453.82</v>
      </c>
      <c r="P20" s="1"/>
      <c r="Q20" s="1"/>
    </row>
    <row r="21" spans="1:17" x14ac:dyDescent="0.3">
      <c r="C21" s="1"/>
      <c r="D21" s="1"/>
      <c r="E21" s="5"/>
      <c r="F21" s="5"/>
      <c r="G21" s="5"/>
      <c r="H21" s="1"/>
      <c r="I21" s="1"/>
      <c r="J21" s="1"/>
      <c r="K21" s="1"/>
      <c r="L21" s="1"/>
      <c r="M21" s="1"/>
      <c r="N21" s="6"/>
      <c r="P21" s="6">
        <f t="shared" si="4"/>
        <v>0</v>
      </c>
      <c r="Q21" s="6">
        <f t="shared" si="5"/>
        <v>0</v>
      </c>
    </row>
    <row r="22" spans="1:17" x14ac:dyDescent="0.3">
      <c r="A22" s="73" t="s">
        <v>18</v>
      </c>
      <c r="B22" s="1">
        <f>B159+B154</f>
        <v>-4303584.0399999917</v>
      </c>
      <c r="C22" s="1">
        <f>C159+C154</f>
        <v>-230168.78000000119</v>
      </c>
      <c r="D22" s="1">
        <f>D159+D154</f>
        <v>-102046.03999999166</v>
      </c>
      <c r="E22" s="8">
        <f>E159+E154</f>
        <v>14781.879999995232</v>
      </c>
      <c r="F22" s="8">
        <f>F159+F154</f>
        <v>98279.520000003278</v>
      </c>
      <c r="G22" s="8">
        <f>G154+G159</f>
        <v>426672.62000000477</v>
      </c>
      <c r="H22" s="8">
        <f t="shared" ref="H22:I22" si="34">H154+H159</f>
        <v>293118.11000001431</v>
      </c>
      <c r="I22" s="8">
        <f t="shared" si="34"/>
        <v>327964.43000000715</v>
      </c>
      <c r="J22" s="8">
        <f t="shared" ref="J22:K22" si="35">J154+J159</f>
        <v>277404.03999996185</v>
      </c>
      <c r="K22" s="8">
        <f t="shared" si="35"/>
        <v>-370818.23000000417</v>
      </c>
      <c r="L22" s="8">
        <f t="shared" ref="L22:M22" si="36">L154+L159</f>
        <v>-263637.1099999845</v>
      </c>
      <c r="M22" s="8">
        <f t="shared" si="36"/>
        <v>-2006736.7100000381</v>
      </c>
      <c r="N22" s="1">
        <f>SUM(B22:M22)</f>
        <v>-5838770.3100000247</v>
      </c>
      <c r="P22" s="1">
        <f t="shared" si="4"/>
        <v>-348366.6909090897</v>
      </c>
      <c r="Q22" s="1">
        <f t="shared" si="5"/>
        <v>-1658370.0190909484</v>
      </c>
    </row>
    <row r="23" spans="1:17" x14ac:dyDescent="0.3">
      <c r="A23" s="73" t="s">
        <v>19</v>
      </c>
      <c r="B23" s="1">
        <f t="shared" ref="B23:G23" si="37">B160+B167</f>
        <v>-198311.54999999702</v>
      </c>
      <c r="C23" s="1">
        <f t="shared" si="37"/>
        <v>-141071.81000000052</v>
      </c>
      <c r="D23" s="1">
        <f t="shared" si="37"/>
        <v>73914.890000000596</v>
      </c>
      <c r="E23" s="1">
        <f t="shared" si="37"/>
        <v>442679.44999998808</v>
      </c>
      <c r="F23" s="1">
        <f t="shared" si="37"/>
        <v>682167.71000003815</v>
      </c>
      <c r="G23" s="1">
        <f t="shared" si="37"/>
        <v>1346835.4100000858</v>
      </c>
      <c r="H23" s="1">
        <f t="shared" ref="H23:I23" si="38">H160+H167</f>
        <v>4496541.1600000262</v>
      </c>
      <c r="I23" s="1">
        <f t="shared" si="38"/>
        <v>161672.65999996662</v>
      </c>
      <c r="J23" s="1">
        <f t="shared" ref="J23:K23" si="39">J160+J167</f>
        <v>664706.21999999881</v>
      </c>
      <c r="K23" s="1">
        <f t="shared" si="39"/>
        <v>1736952.3999998569</v>
      </c>
      <c r="L23" s="1">
        <f t="shared" ref="L23:M23" si="40">L160+L167</f>
        <v>1886622.8299999237</v>
      </c>
      <c r="M23" s="1">
        <f t="shared" si="40"/>
        <v>-3011897.6799999475</v>
      </c>
      <c r="N23" s="1">
        <f t="shared" ref="N23:N25" si="41">SUM(B23:M23)</f>
        <v>8140811.6899999399</v>
      </c>
      <c r="P23" s="1">
        <f t="shared" si="4"/>
        <v>1013882.6699999898</v>
      </c>
      <c r="Q23" s="1">
        <f t="shared" si="5"/>
        <v>-4025780.3499999372</v>
      </c>
    </row>
    <row r="24" spans="1:17" x14ac:dyDescent="0.3">
      <c r="A24" s="73" t="s">
        <v>20</v>
      </c>
      <c r="B24" s="1">
        <f t="shared" ref="B24:G24" si="42">B161+B169</f>
        <v>-28077.910000000033</v>
      </c>
      <c r="C24" s="1">
        <f t="shared" si="42"/>
        <v>-41342.620000000112</v>
      </c>
      <c r="D24" s="1">
        <f t="shared" si="42"/>
        <v>-28127.939999999944</v>
      </c>
      <c r="E24" s="7">
        <f t="shared" si="42"/>
        <v>1048.5499999999884</v>
      </c>
      <c r="F24" s="7">
        <f t="shared" si="42"/>
        <v>13526.869999999995</v>
      </c>
      <c r="G24" s="7">
        <f t="shared" si="42"/>
        <v>28752.459999999963</v>
      </c>
      <c r="H24" s="7">
        <f t="shared" ref="H24:I24" si="43">H161+H169</f>
        <v>-16145.679999999993</v>
      </c>
      <c r="I24" s="7">
        <f t="shared" si="43"/>
        <v>-6336.4200000000419</v>
      </c>
      <c r="J24" s="7">
        <f t="shared" ref="J24:K24" si="44">J161+J169</f>
        <v>-36760.469999999972</v>
      </c>
      <c r="K24" s="7">
        <f t="shared" si="44"/>
        <v>-12813.290000000037</v>
      </c>
      <c r="L24" s="7">
        <f t="shared" ref="L24:M24" si="45">L161+L169</f>
        <v>-4549.9899999999907</v>
      </c>
      <c r="M24" s="7">
        <f t="shared" si="45"/>
        <v>214196.78000000026</v>
      </c>
      <c r="N24" s="1">
        <f t="shared" si="41"/>
        <v>83370.340000000084</v>
      </c>
      <c r="P24" s="1">
        <f t="shared" si="4"/>
        <v>-11893.312727272743</v>
      </c>
      <c r="Q24" s="1">
        <f t="shared" si="5"/>
        <v>226090.092727273</v>
      </c>
    </row>
    <row r="25" spans="1:17" x14ac:dyDescent="0.3">
      <c r="A25" s="73" t="s">
        <v>21</v>
      </c>
      <c r="B25" s="1">
        <f t="shared" ref="B25:G25" si="46">B162+B174</f>
        <v>-17915.510000000009</v>
      </c>
      <c r="C25" s="1">
        <f t="shared" si="46"/>
        <v>0</v>
      </c>
      <c r="D25" s="1">
        <f t="shared" si="46"/>
        <v>-35497.39</v>
      </c>
      <c r="E25" s="7">
        <f t="shared" si="46"/>
        <v>2061.8000000000466</v>
      </c>
      <c r="F25" s="7">
        <f t="shared" si="46"/>
        <v>0</v>
      </c>
      <c r="G25" s="7">
        <f t="shared" si="46"/>
        <v>0</v>
      </c>
      <c r="H25" s="7">
        <f t="shared" ref="H25:I25" si="47">H162+H174</f>
        <v>-19969.050000000003</v>
      </c>
      <c r="I25" s="7">
        <f t="shared" si="47"/>
        <v>18581.950000000012</v>
      </c>
      <c r="J25" s="7">
        <f t="shared" ref="J25:K25" si="48">J162+J174</f>
        <v>-29775.839999999967</v>
      </c>
      <c r="K25" s="7">
        <f t="shared" si="48"/>
        <v>-57997.5</v>
      </c>
      <c r="L25" s="7">
        <f t="shared" ref="L25:M25" si="49">L162+L174</f>
        <v>0</v>
      </c>
      <c r="M25" s="7">
        <f t="shared" si="49"/>
        <v>-189768.82000000007</v>
      </c>
      <c r="N25" s="1">
        <f t="shared" si="41"/>
        <v>-330280.36</v>
      </c>
      <c r="P25" s="1">
        <f t="shared" si="4"/>
        <v>-12773.776363636356</v>
      </c>
      <c r="Q25" s="1">
        <f t="shared" si="5"/>
        <v>-176995.0436363637</v>
      </c>
    </row>
    <row r="26" spans="1:17" x14ac:dyDescent="0.3">
      <c r="C26" s="1"/>
      <c r="D26" s="1"/>
      <c r="E26" s="5"/>
      <c r="F26" s="5"/>
      <c r="G26" s="5"/>
      <c r="H26" s="1"/>
      <c r="I26" s="1"/>
      <c r="J26" s="1"/>
      <c r="K26" s="1"/>
      <c r="L26" s="1"/>
      <c r="M26" s="1"/>
      <c r="N26" s="6"/>
      <c r="P26" s="6">
        <f t="shared" si="4"/>
        <v>0</v>
      </c>
      <c r="Q26" s="6">
        <f t="shared" si="5"/>
        <v>0</v>
      </c>
    </row>
    <row r="27" spans="1:17" x14ac:dyDescent="0.3">
      <c r="A27" s="73" t="s">
        <v>22</v>
      </c>
      <c r="B27" s="1">
        <f t="shared" ref="B27:G28" si="50">B150+B155</f>
        <v>-1451390.0700000077</v>
      </c>
      <c r="C27" s="1">
        <f t="shared" si="50"/>
        <v>-14017.5</v>
      </c>
      <c r="D27" s="1">
        <f t="shared" si="50"/>
        <v>-649600</v>
      </c>
      <c r="E27" s="1">
        <f t="shared" si="50"/>
        <v>339010</v>
      </c>
      <c r="F27" s="1">
        <f t="shared" si="50"/>
        <v>92680</v>
      </c>
      <c r="G27" s="1">
        <f t="shared" si="50"/>
        <v>525780</v>
      </c>
      <c r="H27" s="1">
        <f t="shared" ref="H27:I27" si="51">H150+H155</f>
        <v>464420</v>
      </c>
      <c r="I27" s="1">
        <f t="shared" si="51"/>
        <v>390490</v>
      </c>
      <c r="J27" s="1">
        <f t="shared" ref="J27:K27" si="52">J150+J155</f>
        <v>142640</v>
      </c>
      <c r="K27" s="1">
        <f t="shared" si="52"/>
        <v>-503440</v>
      </c>
      <c r="L27" s="1">
        <f t="shared" ref="L27:M27" si="53">L150+L155</f>
        <v>-6050</v>
      </c>
      <c r="M27" s="1">
        <f t="shared" si="53"/>
        <v>262270</v>
      </c>
      <c r="N27" s="1">
        <f>SUM(B27:M27)</f>
        <v>-407207.57000000775</v>
      </c>
      <c r="P27" s="1">
        <f t="shared" si="4"/>
        <v>-60861.59727272798</v>
      </c>
      <c r="Q27" s="1">
        <f t="shared" si="5"/>
        <v>323131.59727272799</v>
      </c>
    </row>
    <row r="28" spans="1:17" x14ac:dyDescent="0.3">
      <c r="A28" s="73" t="s">
        <v>23</v>
      </c>
      <c r="B28" s="1">
        <f t="shared" si="50"/>
        <v>287951.64999999851</v>
      </c>
      <c r="C28" s="1">
        <f t="shared" si="50"/>
        <v>-4461877.3100000024</v>
      </c>
      <c r="D28" s="1">
        <f t="shared" si="50"/>
        <v>67555.530000001192</v>
      </c>
      <c r="E28" s="7">
        <f t="shared" si="50"/>
        <v>-3414426</v>
      </c>
      <c r="F28" s="7">
        <f t="shared" si="50"/>
        <v>-28165.459999993443</v>
      </c>
      <c r="G28" s="7">
        <f t="shared" si="50"/>
        <v>-6775542</v>
      </c>
      <c r="H28" s="7">
        <f t="shared" ref="H28" si="54">H151+H156</f>
        <v>-2610952</v>
      </c>
      <c r="I28" s="7">
        <f>I151+I156</f>
        <v>-4106876</v>
      </c>
      <c r="J28" s="7">
        <f>J151+J156</f>
        <v>-875180</v>
      </c>
      <c r="K28" s="7">
        <f>K151+K156</f>
        <v>-5978691.5</v>
      </c>
      <c r="L28" s="7">
        <f>L151+L156</f>
        <v>-1077231</v>
      </c>
      <c r="M28" s="7">
        <f>M151+M156</f>
        <v>8704766.25</v>
      </c>
      <c r="N28" s="1">
        <f t="shared" ref="N28:N30" si="55">SUM(B28:M28)</f>
        <v>-20268667.839999996</v>
      </c>
      <c r="P28" s="1">
        <f t="shared" si="4"/>
        <v>-2633948.5536363632</v>
      </c>
      <c r="Q28" s="1">
        <f t="shared" si="5"/>
        <v>11338714.803636363</v>
      </c>
    </row>
    <row r="29" spans="1:17" x14ac:dyDescent="0.3">
      <c r="A29" s="73" t="s">
        <v>24</v>
      </c>
      <c r="B29" s="1">
        <f>B152+B157</f>
        <v>0</v>
      </c>
      <c r="C29" s="1">
        <f>C152+C157</f>
        <v>4535</v>
      </c>
      <c r="D29" s="1">
        <f>D152+D157</f>
        <v>-3890</v>
      </c>
      <c r="E29" s="7">
        <f>E152+E157</f>
        <v>-555</v>
      </c>
      <c r="F29" s="7">
        <f>F152+F157</f>
        <v>0</v>
      </c>
      <c r="G29" s="7">
        <f>G157+G152</f>
        <v>1775</v>
      </c>
      <c r="H29" s="7">
        <f t="shared" ref="H29:I29" si="56">H157+H152</f>
        <v>0</v>
      </c>
      <c r="I29" s="7">
        <f t="shared" si="56"/>
        <v>0</v>
      </c>
      <c r="J29" s="7">
        <f t="shared" ref="J29:K29" si="57">J157+J152</f>
        <v>0</v>
      </c>
      <c r="K29" s="7">
        <f t="shared" si="57"/>
        <v>-450</v>
      </c>
      <c r="L29" s="7">
        <f t="shared" ref="L29:M29" si="58">L157+L152</f>
        <v>-1680</v>
      </c>
      <c r="M29" s="7">
        <f t="shared" si="58"/>
        <v>0</v>
      </c>
      <c r="N29" s="1">
        <f t="shared" si="55"/>
        <v>-265</v>
      </c>
      <c r="P29" s="1">
        <f t="shared" si="4"/>
        <v>-24.09090909090909</v>
      </c>
      <c r="Q29" s="1">
        <f t="shared" si="5"/>
        <v>24.09090909090909</v>
      </c>
    </row>
    <row r="30" spans="1:17" x14ac:dyDescent="0.3">
      <c r="A30" s="73" t="s">
        <v>25</v>
      </c>
      <c r="B30" s="1">
        <v>0</v>
      </c>
      <c r="C30" s="1">
        <v>0</v>
      </c>
      <c r="D30" s="1">
        <v>0</v>
      </c>
      <c r="E30" s="7">
        <v>0</v>
      </c>
      <c r="F30" s="7">
        <f>F153+F158</f>
        <v>0</v>
      </c>
      <c r="G30" s="7">
        <v>0</v>
      </c>
      <c r="H30" s="7">
        <f t="shared" ref="H30:M30" si="59">H153+H158</f>
        <v>-880</v>
      </c>
      <c r="I30" s="7">
        <f t="shared" si="59"/>
        <v>0</v>
      </c>
      <c r="J30" s="7">
        <f t="shared" si="59"/>
        <v>0</v>
      </c>
      <c r="K30" s="7">
        <f t="shared" si="59"/>
        <v>0</v>
      </c>
      <c r="L30" s="7">
        <f t="shared" si="59"/>
        <v>0</v>
      </c>
      <c r="M30" s="7">
        <f t="shared" si="59"/>
        <v>0</v>
      </c>
      <c r="N30" s="1">
        <f t="shared" si="55"/>
        <v>-880</v>
      </c>
      <c r="P30" s="1">
        <f t="shared" si="4"/>
        <v>-80</v>
      </c>
      <c r="Q30" s="1">
        <f t="shared" si="5"/>
        <v>80</v>
      </c>
    </row>
    <row r="31" spans="1:17" x14ac:dyDescent="0.3">
      <c r="C31" s="1"/>
      <c r="D31" s="1"/>
      <c r="E31" s="5"/>
      <c r="F31" s="5"/>
      <c r="G31" s="5"/>
      <c r="H31" s="5"/>
      <c r="I31" s="5"/>
      <c r="J31" s="5"/>
      <c r="K31" s="5"/>
      <c r="L31" s="5"/>
      <c r="M31" s="5"/>
      <c r="N31" s="6"/>
      <c r="P31" s="6">
        <f t="shared" si="4"/>
        <v>0</v>
      </c>
      <c r="Q31" s="6">
        <f t="shared" si="5"/>
        <v>0</v>
      </c>
    </row>
    <row r="32" spans="1:17" x14ac:dyDescent="0.3">
      <c r="A32" s="73" t="s">
        <v>26</v>
      </c>
      <c r="B32" s="1">
        <f t="shared" ref="B32:G32" si="60">+B180</f>
        <v>2910296.13</v>
      </c>
      <c r="C32" s="1">
        <f t="shared" si="60"/>
        <v>1651163.39</v>
      </c>
      <c r="D32" s="1">
        <f t="shared" si="60"/>
        <v>-414097.59</v>
      </c>
      <c r="E32" s="7">
        <f t="shared" si="60"/>
        <v>959937.83</v>
      </c>
      <c r="F32" s="7">
        <f t="shared" si="60"/>
        <v>-3014399.59</v>
      </c>
      <c r="G32" s="7">
        <f t="shared" si="60"/>
        <v>3160990.11</v>
      </c>
      <c r="H32" s="7">
        <f>+H180+H193</f>
        <v>-6978241.0899999999</v>
      </c>
      <c r="I32" s="7">
        <f>+I180+I193</f>
        <v>-1664169.4700000002</v>
      </c>
      <c r="J32" s="7">
        <f>+J180+J193+J133+J134+J135+J136+J137</f>
        <v>-5710025.96</v>
      </c>
      <c r="K32" s="7">
        <f>+K180+K193+K133+K134+K135+K136+K137</f>
        <v>6617453.9100000001</v>
      </c>
      <c r="L32" s="7">
        <f>+L180+L193+L133+L134+L135+L136+L137</f>
        <v>-2691846.74</v>
      </c>
      <c r="M32" s="7">
        <f>+M180+M193+M133+M134+M135+M136+M137</f>
        <v>-2942725.3299999996</v>
      </c>
      <c r="N32" s="1">
        <f>SUM(B32:M32)</f>
        <v>-8115664.4000000004</v>
      </c>
      <c r="P32" s="1">
        <f t="shared" si="4"/>
        <v>-470267.18818181823</v>
      </c>
      <c r="Q32" s="1">
        <f t="shared" si="5"/>
        <v>-2472458.1418181816</v>
      </c>
    </row>
    <row r="33" spans="1:17" x14ac:dyDescent="0.3">
      <c r="A33" s="73" t="s">
        <v>27</v>
      </c>
      <c r="B33" s="1">
        <f t="shared" ref="B33:G33" si="61">B176</f>
        <v>2682.05</v>
      </c>
      <c r="C33" s="1">
        <f t="shared" si="61"/>
        <v>-1617.38</v>
      </c>
      <c r="D33" s="1">
        <f t="shared" si="61"/>
        <v>5756.07</v>
      </c>
      <c r="E33" s="1">
        <f t="shared" si="61"/>
        <v>9048.32</v>
      </c>
      <c r="F33" s="1">
        <f t="shared" si="61"/>
        <v>11168.19</v>
      </c>
      <c r="G33" s="1">
        <f t="shared" si="61"/>
        <v>3721.59</v>
      </c>
      <c r="H33" s="1">
        <f t="shared" ref="H33:I33" si="62">H176</f>
        <v>6172.25</v>
      </c>
      <c r="I33" s="1">
        <f t="shared" si="62"/>
        <v>7102.98</v>
      </c>
      <c r="J33" s="1">
        <f t="shared" ref="J33:K33" si="63">J176</f>
        <v>7169.65</v>
      </c>
      <c r="K33" s="1">
        <f t="shared" si="63"/>
        <v>9614.02</v>
      </c>
      <c r="L33" s="1">
        <f t="shared" ref="L33:M33" si="64">L176</f>
        <v>6881.28</v>
      </c>
      <c r="M33" s="1">
        <f t="shared" si="64"/>
        <v>8685.4500000000007</v>
      </c>
      <c r="N33" s="1">
        <f>SUM(B33:M33)</f>
        <v>76384.469999999987</v>
      </c>
      <c r="P33" s="1">
        <f t="shared" si="4"/>
        <v>6154.4563636363628</v>
      </c>
      <c r="Q33" s="1">
        <f t="shared" si="5"/>
        <v>2530.993636363638</v>
      </c>
    </row>
    <row r="34" spans="1:17" x14ac:dyDescent="0.3">
      <c r="A34" s="73" t="s">
        <v>28</v>
      </c>
      <c r="B34" s="4">
        <f t="shared" ref="B34:M34" si="65">SUM(B14:B33)</f>
        <v>584428259.50999987</v>
      </c>
      <c r="C34" s="4">
        <f t="shared" si="65"/>
        <v>1325767059.3100004</v>
      </c>
      <c r="D34" s="4">
        <f t="shared" si="65"/>
        <v>407667417.19000006</v>
      </c>
      <c r="E34" s="4">
        <f t="shared" si="65"/>
        <v>144338649.61000001</v>
      </c>
      <c r="F34" s="4">
        <f t="shared" si="65"/>
        <v>211932002.40000001</v>
      </c>
      <c r="G34" s="4">
        <f t="shared" si="65"/>
        <v>355674922.34000009</v>
      </c>
      <c r="H34" s="4">
        <f>SUM(H14:H33)</f>
        <v>291087343.19999993</v>
      </c>
      <c r="I34" s="4">
        <f>SUM(I14:I33)</f>
        <v>453663314.29999989</v>
      </c>
      <c r="J34" s="4">
        <f t="shared" si="65"/>
        <v>336028111.43999994</v>
      </c>
      <c r="K34" s="4">
        <f t="shared" si="65"/>
        <v>149579678.36999986</v>
      </c>
      <c r="L34" s="4">
        <f t="shared" si="65"/>
        <v>225304044.21999988</v>
      </c>
      <c r="M34" s="4">
        <f t="shared" si="65"/>
        <v>192525184.67999995</v>
      </c>
      <c r="N34" s="4">
        <f>SUM(N14:N33)</f>
        <v>4677995986.5700006</v>
      </c>
      <c r="P34" s="4">
        <f t="shared" si="4"/>
        <v>407770072.89909095</v>
      </c>
      <c r="Q34" s="4">
        <f t="shared" si="5"/>
        <v>-215244888.219091</v>
      </c>
    </row>
    <row r="35" spans="1:17" ht="24" customHeight="1" thickBot="1" x14ac:dyDescent="0.35">
      <c r="A35" s="73" t="s">
        <v>29</v>
      </c>
      <c r="B35" s="9">
        <f t="shared" ref="B35:N35" si="66">+B11-B34</f>
        <v>873800.75000011921</v>
      </c>
      <c r="C35" s="9">
        <f t="shared" si="66"/>
        <v>807135.46999979019</v>
      </c>
      <c r="D35" s="9">
        <f t="shared" si="66"/>
        <v>873124.75999993086</v>
      </c>
      <c r="E35" s="9">
        <f t="shared" si="66"/>
        <v>583926.69999995828</v>
      </c>
      <c r="F35" s="9">
        <f t="shared" si="66"/>
        <v>474371.84000000358</v>
      </c>
      <c r="G35" s="9">
        <f t="shared" si="66"/>
        <v>577793.05999994278</v>
      </c>
      <c r="H35" s="9">
        <f>+H11-H34</f>
        <v>426753.60000002384</v>
      </c>
      <c r="I35" s="9">
        <f>+I11-I34</f>
        <v>715437.57000005245</v>
      </c>
      <c r="J35" s="9">
        <f t="shared" si="66"/>
        <v>435915.37000006437</v>
      </c>
      <c r="K35" s="9">
        <f t="shared" si="66"/>
        <v>655609.87000012398</v>
      </c>
      <c r="L35" s="9">
        <f t="shared" si="66"/>
        <v>280104.40000012517</v>
      </c>
      <c r="M35" s="9">
        <f t="shared" si="66"/>
        <v>387921.87000006437</v>
      </c>
      <c r="N35" s="23">
        <f t="shared" si="66"/>
        <v>7091895.2600011826</v>
      </c>
      <c r="P35" s="9">
        <f t="shared" si="4"/>
        <v>609452.12636373797</v>
      </c>
      <c r="Q35" s="9">
        <f t="shared" si="5"/>
        <v>-221530.2563636736</v>
      </c>
    </row>
    <row r="36" spans="1:17" ht="24" customHeight="1" thickTop="1" x14ac:dyDescent="0.3">
      <c r="B36" s="10">
        <f>+B35/B11</f>
        <v>1.4929056453550902E-3</v>
      </c>
      <c r="C36" s="10">
        <f t="shared" ref="C36:N36" si="67">+C35/C11</f>
        <v>6.0843597981615036E-4</v>
      </c>
      <c r="D36" s="10">
        <f t="shared" si="67"/>
        <v>2.137180206969006E-3</v>
      </c>
      <c r="E36" s="10">
        <f t="shared" si="67"/>
        <v>4.029232124268178E-3</v>
      </c>
      <c r="F36" s="10">
        <f t="shared" si="67"/>
        <v>2.233322053998277E-3</v>
      </c>
      <c r="G36" s="10">
        <f t="shared" si="67"/>
        <v>1.6218628940166744E-3</v>
      </c>
      <c r="H36" s="10">
        <f t="shared" ref="H36" si="68">+H35/H11</f>
        <v>1.4639209722087921E-3</v>
      </c>
      <c r="I36" s="10">
        <f t="shared" si="67"/>
        <v>1.5745401101078397E-3</v>
      </c>
      <c r="J36" s="10">
        <f t="shared" si="67"/>
        <v>1.2955779378049951E-3</v>
      </c>
      <c r="K36" s="10">
        <f t="shared" si="67"/>
        <v>4.3638873242136771E-3</v>
      </c>
      <c r="L36" s="10">
        <f t="shared" si="67"/>
        <v>1.241684762487303E-3</v>
      </c>
      <c r="M36" s="10">
        <f>+M35/M11</f>
        <v>2.0108632168002604E-3</v>
      </c>
      <c r="N36" s="10">
        <f t="shared" si="67"/>
        <v>1.5137165916365007E-3</v>
      </c>
      <c r="P36" s="10">
        <f t="shared" si="4"/>
        <v>-4.5195147742159974E-5</v>
      </c>
      <c r="Q36" s="10">
        <f t="shared" si="5"/>
        <v>2.0560583645424205E-3</v>
      </c>
    </row>
    <row r="37" spans="1:17" ht="24" customHeigh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P37" s="1">
        <f t="shared" si="4"/>
        <v>0</v>
      </c>
      <c r="Q37" s="1">
        <f t="shared" si="5"/>
        <v>0</v>
      </c>
    </row>
    <row r="38" spans="1:17" x14ac:dyDescent="0.3">
      <c r="A38" s="73" t="s">
        <v>30</v>
      </c>
      <c r="B38" s="1">
        <f>'[2]Comparison 2017-2018'!$G$30</f>
        <v>885928.51408513961</v>
      </c>
      <c r="C38" s="1">
        <f>'[2]Comparison 2017-2018'!$G$54</f>
        <v>681928.29401690571</v>
      </c>
      <c r="D38" s="1">
        <f>'[2]Comparison 2017-2018'!$G$80</f>
        <v>674363.71418699983</v>
      </c>
      <c r="E38" s="1">
        <f>'[2]Comparison 2017-2018'!$G$105</f>
        <v>655611.34502510389</v>
      </c>
      <c r="F38" s="1">
        <v>538671.68000000005</v>
      </c>
      <c r="G38" s="1">
        <f>'[2]Comparison 2017-2018'!$G$155</f>
        <v>704133.82690028625</v>
      </c>
      <c r="H38" s="1">
        <f>'[2]Comparison 2017-2018'!$G$181</f>
        <v>515101.24188355304</v>
      </c>
      <c r="I38" s="1">
        <f>'[2]Comparison 2017-2018'!$G$207</f>
        <v>680756.08379218809</v>
      </c>
      <c r="J38" s="1">
        <f>'[2]Comparison 2017-2018'!$G$232</f>
        <v>640882.53297928849</v>
      </c>
      <c r="K38" s="1">
        <v>718772.43</v>
      </c>
      <c r="L38" s="1">
        <v>683387.31</v>
      </c>
      <c r="M38" s="1">
        <v>643279.41294674075</v>
      </c>
      <c r="N38" s="1">
        <f>SUM(B38:M38)</f>
        <v>8022816.3858162062</v>
      </c>
      <c r="P38" s="1">
        <f t="shared" si="4"/>
        <v>670866.99753358774</v>
      </c>
      <c r="Q38" s="1">
        <f t="shared" si="5"/>
        <v>-27587.584586846991</v>
      </c>
    </row>
    <row r="39" spans="1:17" x14ac:dyDescent="0.3">
      <c r="A39" s="73" t="s">
        <v>31</v>
      </c>
      <c r="B39" s="1">
        <f>11347.91+1307.73</f>
        <v>12655.64</v>
      </c>
      <c r="C39" s="1">
        <f>2264.54+222.6</f>
        <v>2487.14</v>
      </c>
      <c r="D39" s="1">
        <f>3529.42+2652.3</f>
        <v>6181.72</v>
      </c>
      <c r="E39" s="1">
        <f>1899.66+1105.7</f>
        <v>3005.36</v>
      </c>
      <c r="F39" s="1">
        <v>3451.23</v>
      </c>
      <c r="G39" s="1">
        <f>1519.77+2478.24</f>
        <v>3998.0099999999998</v>
      </c>
      <c r="H39" s="1">
        <f>1220.82+2101.18</f>
        <v>3322</v>
      </c>
      <c r="I39" s="1">
        <f>2140.74+387.79</f>
        <v>2528.5299999999997</v>
      </c>
      <c r="J39" s="1">
        <f>1753.58+1855.92</f>
        <v>3609.5</v>
      </c>
      <c r="K39" s="1">
        <v>3887.99</v>
      </c>
      <c r="L39" s="1">
        <v>10516.9</v>
      </c>
      <c r="M39" s="1">
        <v>7967.7199999999993</v>
      </c>
      <c r="N39" s="1">
        <f t="shared" ref="N39:N48" si="69">SUM(B39:M39)</f>
        <v>63611.74</v>
      </c>
      <c r="P39" s="1">
        <f t="shared" si="4"/>
        <v>5058.5472727272727</v>
      </c>
      <c r="Q39" s="1">
        <f t="shared" si="5"/>
        <v>2909.1727272727267</v>
      </c>
    </row>
    <row r="40" spans="1:17" x14ac:dyDescent="0.3">
      <c r="A40" s="73" t="s">
        <v>32</v>
      </c>
      <c r="B40" s="1">
        <f>'[3]Monthly Summary'!$B$6</f>
        <v>51934.229999999996</v>
      </c>
      <c r="C40" s="1">
        <f>[4]Feb!$B$35</f>
        <v>36189.82</v>
      </c>
      <c r="D40" s="1">
        <f>[3]Mar!$B$35</f>
        <v>90332.26999999999</v>
      </c>
      <c r="E40" s="8">
        <f>[3]Apr!$B$35</f>
        <v>42087.81</v>
      </c>
      <c r="F40" s="8">
        <v>36064.49</v>
      </c>
      <c r="G40" s="8">
        <f>[3]Jun!$B$35</f>
        <v>6099.46</v>
      </c>
      <c r="H40" s="8">
        <f>[3]Jul!$B$35</f>
        <v>91429.33</v>
      </c>
      <c r="I40" s="8">
        <f>[3]Aug!$B$35</f>
        <v>25335.02</v>
      </c>
      <c r="J40" s="5">
        <f>'[3]Sept '!$B$35</f>
        <v>17267.59</v>
      </c>
      <c r="K40" s="5">
        <v>34023.760000000002</v>
      </c>
      <c r="L40" s="5">
        <v>37720.6</v>
      </c>
      <c r="M40" s="5">
        <v>54679.3</v>
      </c>
      <c r="N40" s="1">
        <f t="shared" si="69"/>
        <v>523163.68</v>
      </c>
      <c r="P40" s="1">
        <f t="shared" si="4"/>
        <v>42589.48909090909</v>
      </c>
      <c r="Q40" s="1">
        <f t="shared" si="5"/>
        <v>12089.810909090913</v>
      </c>
    </row>
    <row r="41" spans="1:17" s="93" customFormat="1" x14ac:dyDescent="0.3">
      <c r="A41" s="93" t="s">
        <v>33</v>
      </c>
      <c r="B41" s="1">
        <f>-11152-36907.01</f>
        <v>-48059.01</v>
      </c>
      <c r="C41" s="1">
        <f>-4530.13-104404.39</f>
        <v>-108934.52</v>
      </c>
      <c r="D41" s="1">
        <v>-27223.4</v>
      </c>
      <c r="E41" s="92">
        <v>-45776.83</v>
      </c>
      <c r="F41" s="1">
        <v>-39077.56</v>
      </c>
      <c r="G41" s="7">
        <f>-13634.37-199763.99</f>
        <v>-213398.36</v>
      </c>
      <c r="H41" s="7">
        <v>-22650.5</v>
      </c>
      <c r="I41" s="1">
        <f>-18941-67230.98</f>
        <v>-86171.98</v>
      </c>
      <c r="J41" s="1">
        <f>-30571.4-9919.88</f>
        <v>-40491.279999999999</v>
      </c>
      <c r="K41" s="5">
        <v>-186820.5</v>
      </c>
      <c r="L41" s="5">
        <v>-272008.63</v>
      </c>
      <c r="M41" s="5">
        <v>-215084</v>
      </c>
      <c r="N41" s="1">
        <f t="shared" si="69"/>
        <v>-1305696.57</v>
      </c>
      <c r="O41" s="95"/>
      <c r="P41" s="1">
        <f t="shared" si="4"/>
        <v>-99146.597272727275</v>
      </c>
      <c r="Q41" s="1">
        <f t="shared" si="5"/>
        <v>-115937.40272727273</v>
      </c>
    </row>
    <row r="42" spans="1:17" s="93" customFormat="1" x14ac:dyDescent="0.3">
      <c r="A42" t="s">
        <v>456</v>
      </c>
      <c r="B42" s="1">
        <v>0</v>
      </c>
      <c r="C42" s="1">
        <v>0</v>
      </c>
      <c r="D42" s="1">
        <v>0</v>
      </c>
      <c r="E42" s="92">
        <v>49617</v>
      </c>
      <c r="F42" s="1">
        <v>41682</v>
      </c>
      <c r="G42" s="7">
        <v>28751</v>
      </c>
      <c r="H42" s="7">
        <v>15774</v>
      </c>
      <c r="I42" s="1">
        <v>2612</v>
      </c>
      <c r="J42" s="1">
        <v>16737</v>
      </c>
      <c r="K42" s="5">
        <v>12095</v>
      </c>
      <c r="L42" s="5">
        <v>2769</v>
      </c>
      <c r="M42" s="5">
        <v>7778</v>
      </c>
      <c r="N42" s="1">
        <f t="shared" si="69"/>
        <v>177815</v>
      </c>
      <c r="O42" s="95"/>
      <c r="P42" s="1">
        <f t="shared" si="4"/>
        <v>15457.90909090909</v>
      </c>
      <c r="Q42" s="1">
        <f t="shared" si="5"/>
        <v>-7679.9090909090901</v>
      </c>
    </row>
    <row r="43" spans="1:17" x14ac:dyDescent="0.3">
      <c r="A43" s="73" t="s">
        <v>34</v>
      </c>
      <c r="B43" s="1">
        <f>-51657.33-70861</f>
        <v>-122518.33</v>
      </c>
      <c r="C43" s="1">
        <f>8840+42577</f>
        <v>51417</v>
      </c>
      <c r="D43" s="1">
        <f>-5460+61057-530</f>
        <v>55067</v>
      </c>
      <c r="E43" s="7">
        <f>9250+15494+530</f>
        <v>25274</v>
      </c>
      <c r="F43" s="7">
        <v>-57663</v>
      </c>
      <c r="G43" s="7">
        <f>-3480+39926</f>
        <v>36446</v>
      </c>
      <c r="H43" s="7">
        <v>-25800</v>
      </c>
      <c r="I43" s="7">
        <v>36495</v>
      </c>
      <c r="J43" s="1">
        <f>1485-23515</f>
        <v>-22030</v>
      </c>
      <c r="K43" s="5">
        <v>73039</v>
      </c>
      <c r="L43" s="5">
        <v>50236</v>
      </c>
      <c r="M43" s="1">
        <v>-185780</v>
      </c>
      <c r="N43" s="1">
        <f t="shared" si="69"/>
        <v>-85817.33</v>
      </c>
      <c r="O43" s="11"/>
      <c r="P43" s="1">
        <f t="shared" si="4"/>
        <v>9087.5154545454552</v>
      </c>
      <c r="Q43" s="1">
        <f t="shared" si="5"/>
        <v>-194867.51545454544</v>
      </c>
    </row>
    <row r="44" spans="1:17" x14ac:dyDescent="0.3">
      <c r="A44" s="73" t="s">
        <v>35</v>
      </c>
      <c r="B44" s="1">
        <v>129582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/>
      <c r="K44" s="5"/>
      <c r="L44" s="5"/>
      <c r="M44" s="5"/>
      <c r="N44" s="1">
        <f t="shared" si="69"/>
        <v>129582</v>
      </c>
      <c r="P44" s="1">
        <f t="shared" si="4"/>
        <v>11780.181818181818</v>
      </c>
      <c r="Q44" s="1">
        <f t="shared" si="5"/>
        <v>-11780.181818181818</v>
      </c>
    </row>
    <row r="45" spans="1:17" x14ac:dyDescent="0.3">
      <c r="A45" s="73" t="s">
        <v>535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5">
        <v>0</v>
      </c>
      <c r="L45" s="5">
        <v>9288.25</v>
      </c>
      <c r="M45" s="5">
        <v>10356.280000000001</v>
      </c>
      <c r="N45" s="1">
        <f t="shared" si="69"/>
        <v>19644.53</v>
      </c>
      <c r="P45" s="1">
        <f t="shared" si="4"/>
        <v>844.38636363636351</v>
      </c>
      <c r="Q45" s="1">
        <f t="shared" si="5"/>
        <v>9511.8936363636367</v>
      </c>
    </row>
    <row r="46" spans="1:17" x14ac:dyDescent="0.3">
      <c r="A46" t="s">
        <v>534</v>
      </c>
      <c r="C46" s="1"/>
      <c r="D46" s="1"/>
      <c r="E46" s="1"/>
      <c r="F46" s="1"/>
      <c r="G46" s="1"/>
      <c r="H46" s="1"/>
      <c r="I46" s="1"/>
      <c r="J46" s="1">
        <v>-37539</v>
      </c>
      <c r="K46" s="5"/>
      <c r="L46" s="5"/>
      <c r="M46" s="5"/>
      <c r="N46" s="1">
        <f t="shared" si="69"/>
        <v>-37539</v>
      </c>
      <c r="P46" s="1"/>
      <c r="Q46" s="1"/>
    </row>
    <row r="47" spans="1:17" x14ac:dyDescent="0.3">
      <c r="A47" t="s">
        <v>536</v>
      </c>
      <c r="C47" s="1"/>
      <c r="D47" s="1"/>
      <c r="E47" s="1"/>
      <c r="F47" s="1"/>
      <c r="G47" s="1"/>
      <c r="H47" s="1"/>
      <c r="I47" s="1"/>
      <c r="J47" s="1"/>
      <c r="K47" s="5"/>
      <c r="L47" s="5">
        <v>-92752.5</v>
      </c>
      <c r="M47" s="5"/>
      <c r="N47" s="1">
        <f t="shared" si="69"/>
        <v>-92752.5</v>
      </c>
      <c r="P47" s="1"/>
      <c r="Q47" s="1"/>
    </row>
    <row r="48" spans="1:17" x14ac:dyDescent="0.3">
      <c r="A48" s="73" t="s">
        <v>36</v>
      </c>
      <c r="B48" s="1">
        <v>-35000</v>
      </c>
      <c r="C48" s="1">
        <f>-18000-17000</f>
        <v>-35000</v>
      </c>
      <c r="D48" s="1">
        <v>-35000</v>
      </c>
      <c r="E48" s="1">
        <v>-35000</v>
      </c>
      <c r="F48" s="1">
        <v>-35000</v>
      </c>
      <c r="G48" s="1">
        <v>-35000</v>
      </c>
      <c r="H48" s="1">
        <v>-35000</v>
      </c>
      <c r="I48" s="1">
        <v>-35000</v>
      </c>
      <c r="J48" s="1">
        <v>-35000</v>
      </c>
      <c r="K48" s="1">
        <v>-35000</v>
      </c>
      <c r="L48" s="1">
        <v>-35000</v>
      </c>
      <c r="M48" s="1">
        <v>-35000</v>
      </c>
      <c r="N48" s="1">
        <f t="shared" si="69"/>
        <v>-420000</v>
      </c>
      <c r="P48" s="1">
        <f t="shared" si="4"/>
        <v>-35000</v>
      </c>
      <c r="Q48" s="1">
        <f t="shared" si="5"/>
        <v>0</v>
      </c>
    </row>
    <row r="49" spans="1:17" x14ac:dyDescent="0.3">
      <c r="B49" s="4">
        <f t="shared" ref="B49:M49" si="70">SUM(B38:B48)</f>
        <v>874523.04408513964</v>
      </c>
      <c r="C49" s="4">
        <f t="shared" si="70"/>
        <v>628087.73401690566</v>
      </c>
      <c r="D49" s="4">
        <f t="shared" si="70"/>
        <v>763721.3041869998</v>
      </c>
      <c r="E49" s="4">
        <f t="shared" si="70"/>
        <v>694818.68502510397</v>
      </c>
      <c r="F49" s="4">
        <f t="shared" si="70"/>
        <v>488128.84000000008</v>
      </c>
      <c r="G49" s="4">
        <f t="shared" si="70"/>
        <v>531029.93690028624</v>
      </c>
      <c r="H49" s="4">
        <f t="shared" si="70"/>
        <v>542176.07188355306</v>
      </c>
      <c r="I49" s="4">
        <f t="shared" si="70"/>
        <v>626554.65379218815</v>
      </c>
      <c r="J49" s="4">
        <f t="shared" si="70"/>
        <v>543436.34297928843</v>
      </c>
      <c r="K49" s="4">
        <f t="shared" si="70"/>
        <v>619997.68000000005</v>
      </c>
      <c r="L49" s="4">
        <f t="shared" si="70"/>
        <v>394156.93000000005</v>
      </c>
      <c r="M49" s="4">
        <f t="shared" si="70"/>
        <v>288196.71294674079</v>
      </c>
      <c r="N49" s="4">
        <f>SUM(N38:N48)</f>
        <v>6994827.935816207</v>
      </c>
      <c r="P49" s="4">
        <f t="shared" si="4"/>
        <v>609693.74753358786</v>
      </c>
      <c r="Q49" s="4">
        <f t="shared" si="5"/>
        <v>-321497.03458684706</v>
      </c>
    </row>
    <row r="50" spans="1:17" ht="25.5" customHeight="1" thickBot="1" x14ac:dyDescent="0.35">
      <c r="A50" s="73" t="s">
        <v>37</v>
      </c>
      <c r="B50" s="12">
        <f t="shared" ref="B50:N50" si="71">+B35-B49</f>
        <v>-722.29408502043225</v>
      </c>
      <c r="C50" s="12">
        <f t="shared" si="71"/>
        <v>179047.73598288454</v>
      </c>
      <c r="D50" s="12">
        <f t="shared" si="71"/>
        <v>109403.45581293106</v>
      </c>
      <c r="E50" s="12">
        <f t="shared" si="71"/>
        <v>-110891.9850251457</v>
      </c>
      <c r="F50" s="12">
        <f t="shared" si="71"/>
        <v>-13756.999999996508</v>
      </c>
      <c r="G50" s="12">
        <f t="shared" si="71"/>
        <v>46763.123099656543</v>
      </c>
      <c r="H50" s="12">
        <f t="shared" si="71"/>
        <v>-115422.47188352922</v>
      </c>
      <c r="I50" s="12">
        <f t="shared" si="71"/>
        <v>88882.916207864298</v>
      </c>
      <c r="J50" s="12">
        <f t="shared" si="71"/>
        <v>-107520.97297922405</v>
      </c>
      <c r="K50" s="12">
        <f t="shared" si="71"/>
        <v>35612.190000123926</v>
      </c>
      <c r="L50" s="12">
        <f t="shared" si="71"/>
        <v>-114052.52999987488</v>
      </c>
      <c r="M50" s="12">
        <f t="shared" si="71"/>
        <v>99725.157053323579</v>
      </c>
      <c r="N50" s="103">
        <f t="shared" si="71"/>
        <v>97067.324184975587</v>
      </c>
      <c r="P50" s="12">
        <f t="shared" si="4"/>
        <v>-241.62116984981748</v>
      </c>
      <c r="Q50" s="12">
        <f t="shared" si="5"/>
        <v>99966.778223173402</v>
      </c>
    </row>
    <row r="51" spans="1:17" ht="15" thickTop="1" x14ac:dyDescent="0.3">
      <c r="C51" s="1"/>
      <c r="D51" s="1"/>
      <c r="E51" s="1"/>
      <c r="F51" s="1"/>
      <c r="G51" s="1"/>
      <c r="H51" s="13"/>
      <c r="I51" s="13"/>
      <c r="J51" s="13"/>
      <c r="K51" s="13"/>
      <c r="L51" s="1"/>
      <c r="M51" s="1"/>
      <c r="P51">
        <f t="shared" si="4"/>
        <v>0</v>
      </c>
      <c r="Q51">
        <f t="shared" si="5"/>
        <v>0</v>
      </c>
    </row>
    <row r="52" spans="1:17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>
        <f t="shared" si="4"/>
        <v>0</v>
      </c>
      <c r="Q52">
        <f t="shared" si="5"/>
        <v>0</v>
      </c>
    </row>
    <row r="53" spans="1:17" x14ac:dyDescent="0.3">
      <c r="A53" s="75" t="s">
        <v>38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>
        <f t="shared" si="4"/>
        <v>0</v>
      </c>
      <c r="Q53">
        <f t="shared" si="5"/>
        <v>0</v>
      </c>
    </row>
    <row r="54" spans="1:17" x14ac:dyDescent="0.3">
      <c r="A54" s="73" t="s">
        <v>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>
        <f t="shared" si="4"/>
        <v>0</v>
      </c>
      <c r="Q54">
        <f t="shared" si="5"/>
        <v>0</v>
      </c>
    </row>
    <row r="55" spans="1:17" x14ac:dyDescent="0.3">
      <c r="A55" s="73" t="s">
        <v>39</v>
      </c>
      <c r="B55" s="1">
        <f>B106</f>
        <v>0</v>
      </c>
      <c r="C55" s="1">
        <f>C106</f>
        <v>0</v>
      </c>
      <c r="D55" s="1">
        <f>D106</f>
        <v>0</v>
      </c>
      <c r="E55" s="1">
        <f t="shared" ref="E55:J55" si="72">E106</f>
        <v>0</v>
      </c>
      <c r="F55" s="1">
        <f t="shared" si="72"/>
        <v>0</v>
      </c>
      <c r="G55" s="1">
        <f t="shared" si="72"/>
        <v>0</v>
      </c>
      <c r="H55" s="1">
        <f t="shared" ref="H55" si="73">H106</f>
        <v>0</v>
      </c>
      <c r="I55" s="1">
        <f t="shared" si="72"/>
        <v>0</v>
      </c>
      <c r="J55" s="1">
        <f t="shared" si="72"/>
        <v>0</v>
      </c>
      <c r="K55" s="1">
        <f t="shared" ref="K55:L55" si="74">K106</f>
        <v>0</v>
      </c>
      <c r="L55" s="1">
        <f t="shared" si="74"/>
        <v>0</v>
      </c>
      <c r="M55" s="1">
        <f t="shared" ref="M55" si="75">M106</f>
        <v>0</v>
      </c>
      <c r="N55" s="1">
        <f>SUM(B55:M55)</f>
        <v>0</v>
      </c>
      <c r="P55" s="1">
        <f t="shared" si="4"/>
        <v>0</v>
      </c>
      <c r="Q55" s="1">
        <f t="shared" si="5"/>
        <v>0</v>
      </c>
    </row>
    <row r="56" spans="1:17" x14ac:dyDescent="0.3">
      <c r="A56" s="73" t="s">
        <v>40</v>
      </c>
      <c r="B56" s="1">
        <f>B112+B123</f>
        <v>44174.48</v>
      </c>
      <c r="C56" s="1">
        <f>C112+C123</f>
        <v>37026.959999999999</v>
      </c>
      <c r="D56" s="1">
        <f>D112+D123</f>
        <v>50952.97</v>
      </c>
      <c r="E56" s="1">
        <f>E112+E123</f>
        <v>17383</v>
      </c>
      <c r="F56" s="1">
        <f t="shared" ref="F56:J56" si="76">F112+F123</f>
        <v>6537.5</v>
      </c>
      <c r="G56" s="1">
        <f t="shared" si="76"/>
        <v>12690.5</v>
      </c>
      <c r="H56" s="1">
        <f t="shared" ref="H56" si="77">H112+H123</f>
        <v>14136.99</v>
      </c>
      <c r="I56" s="1">
        <f t="shared" si="76"/>
        <v>3546</v>
      </c>
      <c r="J56" s="1">
        <f t="shared" si="76"/>
        <v>6577.55</v>
      </c>
      <c r="K56" s="1">
        <f t="shared" ref="K56:L56" si="78">K112+K123</f>
        <v>18560.79</v>
      </c>
      <c r="L56" s="1">
        <f t="shared" si="78"/>
        <v>30425.09</v>
      </c>
      <c r="M56" s="1">
        <f t="shared" ref="M56" si="79">M112+M123</f>
        <v>189608.23</v>
      </c>
      <c r="N56" s="1">
        <f t="shared" ref="N56:N58" si="80">SUM(B56:M56)</f>
        <v>431620.06</v>
      </c>
      <c r="P56" s="1">
        <f t="shared" si="4"/>
        <v>22001.075454545455</v>
      </c>
      <c r="Q56" s="1">
        <f t="shared" si="5"/>
        <v>167607.15454545454</v>
      </c>
    </row>
    <row r="57" spans="1:17" x14ac:dyDescent="0.3">
      <c r="A57" s="73" t="s">
        <v>41</v>
      </c>
      <c r="B57" s="1">
        <f>B111+B122</f>
        <v>0</v>
      </c>
      <c r="C57" s="1">
        <f>C111+C122</f>
        <v>0</v>
      </c>
      <c r="D57" s="1">
        <f>D111+D122</f>
        <v>0</v>
      </c>
      <c r="E57" s="1">
        <f>E111+E122</f>
        <v>0</v>
      </c>
      <c r="F57" s="1">
        <f t="shared" ref="F57:J57" si="81">F111+F122</f>
        <v>100</v>
      </c>
      <c r="G57" s="1">
        <f t="shared" si="81"/>
        <v>0</v>
      </c>
      <c r="H57" s="1">
        <f t="shared" ref="H57" si="82">H111+H122</f>
        <v>100</v>
      </c>
      <c r="I57" s="1">
        <f t="shared" si="81"/>
        <v>275</v>
      </c>
      <c r="J57" s="1">
        <f t="shared" si="81"/>
        <v>780</v>
      </c>
      <c r="K57" s="1">
        <f t="shared" ref="K57:L57" si="83">K111+K122</f>
        <v>145</v>
      </c>
      <c r="L57" s="1">
        <f t="shared" si="83"/>
        <v>800</v>
      </c>
      <c r="M57" s="1">
        <f t="shared" ref="M57" si="84">M111+M122</f>
        <v>9658.44</v>
      </c>
      <c r="N57" s="1">
        <f t="shared" si="80"/>
        <v>11858.44</v>
      </c>
      <c r="P57" s="1">
        <f t="shared" si="4"/>
        <v>200</v>
      </c>
      <c r="Q57" s="1">
        <f t="shared" si="5"/>
        <v>9458.44</v>
      </c>
    </row>
    <row r="58" spans="1:17" x14ac:dyDescent="0.3">
      <c r="A58" s="73" t="s">
        <v>42</v>
      </c>
      <c r="B58" s="1">
        <f>B113+B115+B116+B117</f>
        <v>44096.53</v>
      </c>
      <c r="C58" s="1">
        <f>C113+C115+C116+C117</f>
        <v>78044.399999999994</v>
      </c>
      <c r="D58" s="1">
        <f>D113+D115+D116+D117</f>
        <v>64584.18</v>
      </c>
      <c r="E58" s="1">
        <f>E113+E115+E116+E117</f>
        <v>30224.629999999997</v>
      </c>
      <c r="F58" s="1">
        <f t="shared" ref="F58:J58" si="85">F113+F115+F116+F117</f>
        <v>73319.850000000006</v>
      </c>
      <c r="G58" s="1">
        <f t="shared" si="85"/>
        <v>39472.699999999997</v>
      </c>
      <c r="H58" s="1">
        <f t="shared" ref="H58" si="86">H113+H115+H116+H117</f>
        <v>105316.34</v>
      </c>
      <c r="I58" s="1">
        <f t="shared" si="85"/>
        <v>42109.01</v>
      </c>
      <c r="J58" s="1">
        <f t="shared" si="85"/>
        <v>80331.100000000006</v>
      </c>
      <c r="K58" s="1">
        <f t="shared" ref="K58:L58" si="87">K113+K115+K116+K117</f>
        <v>48035.92</v>
      </c>
      <c r="L58" s="1">
        <f t="shared" si="87"/>
        <v>68725.38</v>
      </c>
      <c r="M58" s="1">
        <f t="shared" ref="M58" si="88">M113+M115+M116+M117</f>
        <v>87855.510000000009</v>
      </c>
      <c r="N58" s="1">
        <f t="shared" si="80"/>
        <v>762115.55</v>
      </c>
      <c r="P58" s="1">
        <f t="shared" si="4"/>
        <v>61296.367272727279</v>
      </c>
      <c r="Q58" s="1">
        <f t="shared" si="5"/>
        <v>26559.142727272731</v>
      </c>
    </row>
    <row r="59" spans="1:17" x14ac:dyDescent="0.3">
      <c r="A59" s="73" t="s">
        <v>43</v>
      </c>
      <c r="B59" s="14">
        <f>SUM(B55:B58)</f>
        <v>88271.010000000009</v>
      </c>
      <c r="C59" s="14">
        <f t="shared" ref="C59:M59" si="89">SUM(C55:C58)</f>
        <v>115071.35999999999</v>
      </c>
      <c r="D59" s="14">
        <f t="shared" si="89"/>
        <v>115537.15</v>
      </c>
      <c r="E59" s="14">
        <f t="shared" si="89"/>
        <v>47607.63</v>
      </c>
      <c r="F59" s="14">
        <f t="shared" si="89"/>
        <v>79957.350000000006</v>
      </c>
      <c r="G59" s="14">
        <f t="shared" si="89"/>
        <v>52163.199999999997</v>
      </c>
      <c r="H59" s="14">
        <f t="shared" ref="H59" si="90">SUM(H55:H58)</f>
        <v>119553.33</v>
      </c>
      <c r="I59" s="14">
        <f t="shared" si="89"/>
        <v>45930.01</v>
      </c>
      <c r="J59" s="14">
        <f t="shared" si="89"/>
        <v>87688.650000000009</v>
      </c>
      <c r="K59" s="14">
        <f t="shared" si="89"/>
        <v>66741.709999999992</v>
      </c>
      <c r="L59" s="14">
        <f t="shared" si="89"/>
        <v>99950.47</v>
      </c>
      <c r="M59" s="14">
        <f t="shared" si="89"/>
        <v>287122.18000000005</v>
      </c>
      <c r="N59" s="14">
        <f>SUM(N55:N58)</f>
        <v>1205594.05</v>
      </c>
      <c r="P59" s="14">
        <f t="shared" si="4"/>
        <v>83497.442727272733</v>
      </c>
      <c r="Q59" s="14">
        <f t="shared" si="5"/>
        <v>203624.7372727273</v>
      </c>
    </row>
    <row r="60" spans="1:17" x14ac:dyDescent="0.3">
      <c r="A60" s="73" t="s">
        <v>44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6"/>
      <c r="P60" s="6">
        <f t="shared" si="4"/>
        <v>0</v>
      </c>
      <c r="Q60" s="6">
        <f t="shared" si="5"/>
        <v>0</v>
      </c>
    </row>
    <row r="61" spans="1:17" x14ac:dyDescent="0.3">
      <c r="A61" s="73" t="s">
        <v>39</v>
      </c>
      <c r="B61" s="1">
        <f>B132</f>
        <v>0</v>
      </c>
      <c r="C61" s="1">
        <f>C132</f>
        <v>0</v>
      </c>
      <c r="D61" s="1">
        <f>D132</f>
        <v>0</v>
      </c>
      <c r="E61" s="1">
        <f t="shared" ref="E61:J61" si="91">E132</f>
        <v>0</v>
      </c>
      <c r="F61" s="1">
        <f>F132</f>
        <v>0</v>
      </c>
      <c r="G61" s="1">
        <f t="shared" si="91"/>
        <v>0</v>
      </c>
      <c r="H61" s="1">
        <f t="shared" ref="H61" si="92">H132</f>
        <v>0</v>
      </c>
      <c r="I61" s="1">
        <f t="shared" si="91"/>
        <v>0</v>
      </c>
      <c r="J61" s="1">
        <f t="shared" si="91"/>
        <v>0</v>
      </c>
      <c r="K61" s="1">
        <f t="shared" ref="K61:L61" si="93">K132</f>
        <v>0</v>
      </c>
      <c r="L61" s="1">
        <f t="shared" si="93"/>
        <v>0</v>
      </c>
      <c r="M61" s="1">
        <f t="shared" ref="M61" si="94">M132</f>
        <v>0</v>
      </c>
      <c r="N61" s="1">
        <f>SUM(B61:M61)</f>
        <v>0</v>
      </c>
      <c r="P61" s="1">
        <f t="shared" si="4"/>
        <v>0</v>
      </c>
      <c r="Q61" s="1">
        <f t="shared" si="5"/>
        <v>0</v>
      </c>
    </row>
    <row r="62" spans="1:17" x14ac:dyDescent="0.3">
      <c r="A62" s="73" t="s">
        <v>45</v>
      </c>
      <c r="B62" s="1">
        <f>B143+B148+B149+B187+B175+B178+B186</f>
        <v>57082.080000000009</v>
      </c>
      <c r="C62" s="1">
        <f>C143+C148+C149+C187+C175+C178+C186</f>
        <v>43072.58</v>
      </c>
      <c r="D62" s="1">
        <f>D143+D148+D149+D187+D175+D178+D186</f>
        <v>59675.47</v>
      </c>
      <c r="E62" s="1">
        <f>E143+E148+E149+E187+E175+E178+E186</f>
        <v>4134.2700000000004</v>
      </c>
      <c r="F62" s="1">
        <f>F143+F148+F149+F187+F175+F178+F186</f>
        <v>5289.5499999999993</v>
      </c>
      <c r="G62" s="1">
        <f t="shared" ref="G62:I62" si="95">G143+G175+G148+G149+G142+G186+G187+G178</f>
        <v>13894.16</v>
      </c>
      <c r="H62" s="1">
        <f t="shared" ref="H62" si="96">H143+H175+H148+H149+H142+H186+H187+H178</f>
        <v>20530.47</v>
      </c>
      <c r="I62" s="1">
        <f t="shared" si="95"/>
        <v>5400.13</v>
      </c>
      <c r="J62" s="1">
        <f>J143+J175+J148+J149+J187+J178</f>
        <v>10087.08</v>
      </c>
      <c r="K62" s="1">
        <f>K143+K175+K148+K149+K187+K178</f>
        <v>20598.52</v>
      </c>
      <c r="L62" s="1">
        <f>L143+L175+L148+L149+L187+L178</f>
        <v>28536.52</v>
      </c>
      <c r="M62" s="1">
        <f>M143+M175+M148+M149+M187+M178</f>
        <v>218961.68</v>
      </c>
      <c r="N62" s="1">
        <f t="shared" ref="N62:N68" si="97">SUM(B62:M62)</f>
        <v>487262.50999999995</v>
      </c>
      <c r="P62" s="1">
        <f t="shared" si="4"/>
        <v>24390.984545454543</v>
      </c>
      <c r="Q62" s="1">
        <f t="shared" si="5"/>
        <v>194570.69545454544</v>
      </c>
    </row>
    <row r="63" spans="1:17" x14ac:dyDescent="0.3">
      <c r="A63" s="73" t="s">
        <v>46</v>
      </c>
      <c r="B63" s="1">
        <f>B145+B147</f>
        <v>162526.82</v>
      </c>
      <c r="C63" s="1">
        <f>C145+C147</f>
        <v>186551.2</v>
      </c>
      <c r="D63" s="1">
        <f>D145+D147+D146</f>
        <v>121471.26</v>
      </c>
      <c r="E63" s="1">
        <f t="shared" ref="E63:J63" si="98">E145+E147</f>
        <v>104538.95</v>
      </c>
      <c r="F63" s="1">
        <f>F145+F147+F146</f>
        <v>112337.33</v>
      </c>
      <c r="G63" s="1">
        <f t="shared" si="98"/>
        <v>58522.59</v>
      </c>
      <c r="H63" s="1">
        <f t="shared" ref="H63" si="99">H145+H147</f>
        <v>142640.88</v>
      </c>
      <c r="I63" s="1">
        <f t="shared" si="98"/>
        <v>302010.69</v>
      </c>
      <c r="J63" s="1">
        <f t="shared" si="98"/>
        <v>148375.73000000001</v>
      </c>
      <c r="K63" s="1">
        <f t="shared" ref="K63:L63" si="100">K145+K147</f>
        <v>124519.01</v>
      </c>
      <c r="L63" s="1">
        <f t="shared" si="100"/>
        <v>101255.08</v>
      </c>
      <c r="M63" s="1">
        <f t="shared" ref="M63" si="101">M145+M147</f>
        <v>137249.42000000001</v>
      </c>
      <c r="N63" s="1">
        <f t="shared" si="97"/>
        <v>1701998.96</v>
      </c>
      <c r="P63" s="1">
        <f t="shared" si="4"/>
        <v>142249.95818181819</v>
      </c>
      <c r="Q63" s="1">
        <f t="shared" si="5"/>
        <v>-5000.5381818181777</v>
      </c>
    </row>
    <row r="64" spans="1:17" x14ac:dyDescent="0.3">
      <c r="A64" s="73" t="s">
        <v>47</v>
      </c>
      <c r="B64" s="1">
        <f t="shared" ref="B64:J64" si="102">B177</f>
        <v>5000</v>
      </c>
      <c r="C64" s="1">
        <f t="shared" si="102"/>
        <v>16772.5</v>
      </c>
      <c r="D64" s="1">
        <f t="shared" si="102"/>
        <v>-6772.5</v>
      </c>
      <c r="E64" s="1">
        <f t="shared" si="102"/>
        <v>5000</v>
      </c>
      <c r="F64" s="1">
        <f t="shared" si="102"/>
        <v>5000</v>
      </c>
      <c r="G64" s="1">
        <f t="shared" si="102"/>
        <v>5000</v>
      </c>
      <c r="H64" s="1">
        <f t="shared" ref="H64" si="103">H177</f>
        <v>5000</v>
      </c>
      <c r="I64" s="1">
        <f t="shared" si="102"/>
        <v>5000</v>
      </c>
      <c r="J64" s="1">
        <f t="shared" si="102"/>
        <v>5000</v>
      </c>
      <c r="K64" s="1">
        <f t="shared" ref="K64:L64" si="104">K177</f>
        <v>5000</v>
      </c>
      <c r="L64" s="1">
        <f t="shared" si="104"/>
        <v>5000</v>
      </c>
      <c r="M64" s="1">
        <f t="shared" ref="M64" si="105">M177</f>
        <v>5000</v>
      </c>
      <c r="N64" s="1">
        <f t="shared" si="97"/>
        <v>60000</v>
      </c>
      <c r="P64" s="1">
        <f t="shared" si="4"/>
        <v>5000</v>
      </c>
      <c r="Q64" s="1">
        <f t="shared" si="5"/>
        <v>0</v>
      </c>
    </row>
    <row r="65" spans="1:17" x14ac:dyDescent="0.3">
      <c r="A65" s="73" t="s">
        <v>48</v>
      </c>
      <c r="B65" s="1">
        <f>B184+B188+B189+B183+B185</f>
        <v>15314.77</v>
      </c>
      <c r="C65" s="1">
        <f>C184+C188+C189+C183+C185</f>
        <v>24623.15</v>
      </c>
      <c r="D65" s="1">
        <f t="shared" ref="D65:J65" si="106">D184+D188+D189+D183+D185</f>
        <v>20393.25</v>
      </c>
      <c r="E65" s="1">
        <f t="shared" si="106"/>
        <v>17847.68</v>
      </c>
      <c r="F65" s="1">
        <f t="shared" si="106"/>
        <v>17603.449999999997</v>
      </c>
      <c r="G65" s="1">
        <f t="shared" si="106"/>
        <v>14073.55</v>
      </c>
      <c r="H65" s="1">
        <f t="shared" ref="H65" si="107">H184+H188+H189+H183+H185</f>
        <v>12245.060000000001</v>
      </c>
      <c r="I65" s="1">
        <f t="shared" si="106"/>
        <v>18464.39</v>
      </c>
      <c r="J65" s="1">
        <f t="shared" si="106"/>
        <v>6687.04</v>
      </c>
      <c r="K65" s="1">
        <f t="shared" ref="K65:L65" si="108">K184+K188+K189+K183+K185</f>
        <v>29655.07</v>
      </c>
      <c r="L65" s="1">
        <f t="shared" si="108"/>
        <v>19372.400000000001</v>
      </c>
      <c r="M65" s="1">
        <f t="shared" ref="M65" si="109">M184+M188+M189+M183+M185</f>
        <v>9886.5500000000011</v>
      </c>
      <c r="N65" s="1">
        <f t="shared" si="97"/>
        <v>206166.36</v>
      </c>
      <c r="P65" s="1">
        <f t="shared" si="4"/>
        <v>17843.619090909091</v>
      </c>
      <c r="Q65" s="1">
        <f t="shared" si="5"/>
        <v>-7957.0690909090899</v>
      </c>
    </row>
    <row r="66" spans="1:17" x14ac:dyDescent="0.3">
      <c r="A66" s="73" t="s">
        <v>49</v>
      </c>
      <c r="B66" s="1">
        <f>B181</f>
        <v>28233.33</v>
      </c>
      <c r="C66" s="1">
        <f>C181</f>
        <v>28233.33</v>
      </c>
      <c r="D66" s="1">
        <f>D181</f>
        <v>28595.83</v>
      </c>
      <c r="E66" s="1">
        <f t="shared" ref="E66:J66" si="110">E181</f>
        <v>28233.33</v>
      </c>
      <c r="F66" s="1">
        <f>F181</f>
        <v>28233.33</v>
      </c>
      <c r="G66" s="1">
        <f t="shared" si="110"/>
        <v>7627.91</v>
      </c>
      <c r="H66" s="1">
        <f t="shared" ref="H66" si="111">H181</f>
        <v>28233.33</v>
      </c>
      <c r="I66" s="1">
        <f t="shared" si="110"/>
        <v>28233.33</v>
      </c>
      <c r="J66" s="1">
        <f t="shared" si="110"/>
        <v>28233.33</v>
      </c>
      <c r="K66" s="1">
        <f t="shared" ref="K66:L66" si="112">K181</f>
        <v>28233.33</v>
      </c>
      <c r="L66" s="1">
        <f t="shared" si="112"/>
        <v>24925.040000000001</v>
      </c>
      <c r="M66" s="1">
        <f t="shared" ref="M66" si="113">M181</f>
        <v>24066.46</v>
      </c>
      <c r="N66" s="1">
        <f t="shared" si="97"/>
        <v>311081.88000000006</v>
      </c>
      <c r="P66" s="1">
        <f t="shared" si="4"/>
        <v>26092.310909090913</v>
      </c>
      <c r="Q66" s="1">
        <f t="shared" si="5"/>
        <v>-2025.8509090909138</v>
      </c>
    </row>
    <row r="67" spans="1:17" x14ac:dyDescent="0.3">
      <c r="A67" s="73" t="s">
        <v>50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/>
      <c r="K67" s="1"/>
      <c r="L67" s="1"/>
      <c r="M67" s="1"/>
      <c r="N67" s="1">
        <f t="shared" si="97"/>
        <v>0</v>
      </c>
      <c r="P67" s="1">
        <f t="shared" si="4"/>
        <v>0</v>
      </c>
      <c r="Q67" s="1">
        <f t="shared" si="5"/>
        <v>0</v>
      </c>
    </row>
    <row r="68" spans="1:17" x14ac:dyDescent="0.3">
      <c r="A68" s="73" t="s">
        <v>51</v>
      </c>
      <c r="B68" s="8">
        <f>B182</f>
        <v>0</v>
      </c>
      <c r="C68" s="8">
        <f>C182</f>
        <v>878</v>
      </c>
      <c r="D68" s="15">
        <f>D182</f>
        <v>0</v>
      </c>
      <c r="E68" s="1">
        <f t="shared" ref="E68:J68" si="114">E182</f>
        <v>0</v>
      </c>
      <c r="F68" s="1">
        <f>F182</f>
        <v>620</v>
      </c>
      <c r="G68" s="1">
        <f t="shared" si="114"/>
        <v>0</v>
      </c>
      <c r="H68" s="1">
        <f t="shared" ref="H68" si="115">H182</f>
        <v>12</v>
      </c>
      <c r="I68" s="1">
        <f t="shared" si="114"/>
        <v>0</v>
      </c>
      <c r="J68" s="1">
        <f t="shared" si="114"/>
        <v>0</v>
      </c>
      <c r="K68" s="1">
        <f t="shared" ref="K68:L68" si="116">K182</f>
        <v>0</v>
      </c>
      <c r="L68" s="1">
        <f t="shared" si="116"/>
        <v>0</v>
      </c>
      <c r="M68" s="1">
        <f t="shared" ref="M68" si="117">M182</f>
        <v>303.94</v>
      </c>
      <c r="N68" s="1">
        <f t="shared" si="97"/>
        <v>1813.94</v>
      </c>
      <c r="P68" s="1">
        <f t="shared" si="4"/>
        <v>137.27272727272728</v>
      </c>
      <c r="Q68" s="1">
        <f t="shared" si="5"/>
        <v>166.66727272727272</v>
      </c>
    </row>
    <row r="69" spans="1:17" x14ac:dyDescent="0.3">
      <c r="A69" s="73" t="s">
        <v>52</v>
      </c>
      <c r="B69" s="16">
        <f>SUM(B61:B68)</f>
        <v>268157</v>
      </c>
      <c r="C69" s="16">
        <f t="shared" ref="C69:M69" si="118">SUM(C61:C68)</f>
        <v>300130.76000000007</v>
      </c>
      <c r="D69" s="8">
        <f t="shared" si="118"/>
        <v>223363.31</v>
      </c>
      <c r="E69" s="16">
        <f t="shared" si="118"/>
        <v>159754.22999999998</v>
      </c>
      <c r="F69" s="16">
        <f t="shared" si="118"/>
        <v>169083.66000000003</v>
      </c>
      <c r="G69" s="16">
        <f t="shared" si="118"/>
        <v>99118.21</v>
      </c>
      <c r="H69" s="16">
        <f t="shared" ref="H69" si="119">SUM(H61:H68)</f>
        <v>208661.74</v>
      </c>
      <c r="I69" s="16">
        <f t="shared" si="118"/>
        <v>359108.54000000004</v>
      </c>
      <c r="J69" s="16">
        <f t="shared" si="118"/>
        <v>198383.18</v>
      </c>
      <c r="K69" s="16">
        <f t="shared" si="118"/>
        <v>208005.93</v>
      </c>
      <c r="L69" s="16">
        <f t="shared" si="118"/>
        <v>179089.04</v>
      </c>
      <c r="M69" s="16">
        <f t="shared" si="118"/>
        <v>395468.05</v>
      </c>
      <c r="N69" s="16">
        <f>SUM(N61:N68)</f>
        <v>2768323.6499999994</v>
      </c>
      <c r="P69" s="16">
        <f t="shared" si="4"/>
        <v>215714.14545454542</v>
      </c>
      <c r="Q69" s="16">
        <f t="shared" si="5"/>
        <v>179753.90454545457</v>
      </c>
    </row>
    <row r="70" spans="1:17" x14ac:dyDescent="0.3">
      <c r="A70" s="73" t="s">
        <v>53</v>
      </c>
      <c r="B70" s="17">
        <f>+B59-B69</f>
        <v>-179885.99</v>
      </c>
      <c r="C70" s="17">
        <f t="shared" ref="C70:N70" si="120">+C59-C69</f>
        <v>-185059.40000000008</v>
      </c>
      <c r="D70" s="17">
        <f t="shared" si="120"/>
        <v>-107826.16</v>
      </c>
      <c r="E70" s="17">
        <f t="shared" si="120"/>
        <v>-112146.59999999998</v>
      </c>
      <c r="F70" s="17">
        <f t="shared" si="120"/>
        <v>-89126.310000000027</v>
      </c>
      <c r="G70" s="17">
        <f t="shared" si="120"/>
        <v>-46955.010000000009</v>
      </c>
      <c r="H70" s="17">
        <f t="shared" ref="H70" si="121">+H59-H69</f>
        <v>-89108.409999999989</v>
      </c>
      <c r="I70" s="17">
        <f t="shared" si="120"/>
        <v>-313178.53000000003</v>
      </c>
      <c r="J70" s="17">
        <f t="shared" si="120"/>
        <v>-110694.52999999998</v>
      </c>
      <c r="K70" s="17">
        <f t="shared" si="120"/>
        <v>-141264.22</v>
      </c>
      <c r="L70" s="17">
        <f t="shared" si="120"/>
        <v>-79138.570000000007</v>
      </c>
      <c r="M70" s="17">
        <f t="shared" si="120"/>
        <v>-108345.86999999994</v>
      </c>
      <c r="N70" s="17">
        <f t="shared" si="120"/>
        <v>-1562729.5999999994</v>
      </c>
      <c r="P70" s="17">
        <f t="shared" si="4"/>
        <v>-132216.70272727267</v>
      </c>
      <c r="Q70" s="17">
        <f t="shared" si="5"/>
        <v>23870.832727272733</v>
      </c>
    </row>
    <row r="71" spans="1:17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6"/>
      <c r="P71" s="6">
        <f t="shared" si="4"/>
        <v>0</v>
      </c>
      <c r="Q71" s="6">
        <f t="shared" si="5"/>
        <v>0</v>
      </c>
    </row>
    <row r="72" spans="1:17" x14ac:dyDescent="0.3">
      <c r="A72" s="73" t="s">
        <v>54</v>
      </c>
      <c r="B72" s="1">
        <f t="shared" ref="B72:G72" si="122">B214</f>
        <v>405193.11</v>
      </c>
      <c r="C72" s="1">
        <f t="shared" si="122"/>
        <v>341937.99000000005</v>
      </c>
      <c r="D72" s="1">
        <f t="shared" si="122"/>
        <v>343625.55</v>
      </c>
      <c r="E72" s="1">
        <f t="shared" si="122"/>
        <v>353871.56</v>
      </c>
      <c r="F72" s="1">
        <f t="shared" si="122"/>
        <v>420339.36000000004</v>
      </c>
      <c r="G72" s="1">
        <f t="shared" si="122"/>
        <v>403802.07</v>
      </c>
      <c r="H72" s="1">
        <f t="shared" ref="H72:I72" si="123">H214</f>
        <v>404965.73</v>
      </c>
      <c r="I72" s="1">
        <f t="shared" si="123"/>
        <v>398996.33</v>
      </c>
      <c r="J72" s="1">
        <f>J214</f>
        <v>-774085.3</v>
      </c>
      <c r="K72" s="1">
        <f>K214</f>
        <v>288817.17</v>
      </c>
      <c r="L72" s="1">
        <f>L214</f>
        <v>212558.63</v>
      </c>
      <c r="M72" s="1">
        <f>M214</f>
        <v>412158.95</v>
      </c>
      <c r="N72" s="1">
        <f>SUM(B72:M72)</f>
        <v>3212181.1500000004</v>
      </c>
      <c r="P72" s="1">
        <f t="shared" si="4"/>
        <v>254547.47272727275</v>
      </c>
      <c r="Q72" s="1">
        <f t="shared" si="5"/>
        <v>157611.47727272726</v>
      </c>
    </row>
    <row r="73" spans="1:17" x14ac:dyDescent="0.3">
      <c r="A73" s="73" t="s">
        <v>55</v>
      </c>
      <c r="B73" s="1">
        <f t="shared" ref="B73:G73" si="124">B238</f>
        <v>217438.18</v>
      </c>
      <c r="C73" s="1">
        <f t="shared" si="124"/>
        <v>209198.51</v>
      </c>
      <c r="D73" s="1">
        <f t="shared" si="124"/>
        <v>217237.15000000002</v>
      </c>
      <c r="E73" s="1">
        <f t="shared" si="124"/>
        <v>198728.25999999998</v>
      </c>
      <c r="F73" s="1">
        <f t="shared" si="124"/>
        <v>199475.94999999998</v>
      </c>
      <c r="G73" s="1">
        <f t="shared" si="124"/>
        <v>222170.33999999997</v>
      </c>
      <c r="H73" s="1">
        <f>H238</f>
        <v>232432.36999999997</v>
      </c>
      <c r="I73" s="1">
        <f t="shared" ref="I73" si="125">I238</f>
        <v>206199.65</v>
      </c>
      <c r="J73" s="1">
        <f>J238</f>
        <v>262615.36</v>
      </c>
      <c r="K73" s="1">
        <f>K238</f>
        <v>237014.89</v>
      </c>
      <c r="L73" s="1">
        <f>L238</f>
        <v>216333.72999999995</v>
      </c>
      <c r="M73" s="1">
        <f>M238</f>
        <v>239275.96999999997</v>
      </c>
      <c r="N73" s="1">
        <f t="shared" ref="N73:N76" si="126">SUM(B73:M73)</f>
        <v>2658120.3600000003</v>
      </c>
      <c r="P73" s="1">
        <f t="shared" si="4"/>
        <v>219894.94454545461</v>
      </c>
      <c r="Q73" s="1">
        <f t="shared" si="5"/>
        <v>19381.025454545364</v>
      </c>
    </row>
    <row r="74" spans="1:17" x14ac:dyDescent="0.3">
      <c r="A74" s="73" t="s">
        <v>56</v>
      </c>
      <c r="B74" s="1">
        <f t="shared" ref="B74:G74" si="127">B270</f>
        <v>90442.829999999987</v>
      </c>
      <c r="C74" s="1">
        <f t="shared" si="127"/>
        <v>71415.44</v>
      </c>
      <c r="D74" s="1">
        <f t="shared" si="127"/>
        <v>72804.350000000006</v>
      </c>
      <c r="E74" s="1">
        <f t="shared" si="127"/>
        <v>77596.460000000006</v>
      </c>
      <c r="F74" s="1">
        <f t="shared" si="127"/>
        <v>76368.37</v>
      </c>
      <c r="G74" s="1">
        <f t="shared" si="127"/>
        <v>87260.21</v>
      </c>
      <c r="H74" s="1">
        <f t="shared" ref="H74:I74" si="128">H270</f>
        <v>100682.48999999999</v>
      </c>
      <c r="I74" s="1">
        <f t="shared" si="128"/>
        <v>93622.96</v>
      </c>
      <c r="J74" s="1">
        <f>J270</f>
        <v>3254.6100000000069</v>
      </c>
      <c r="K74" s="1">
        <f>K270</f>
        <v>90818.64</v>
      </c>
      <c r="L74" s="1">
        <f>L270</f>
        <v>66473.72</v>
      </c>
      <c r="M74" s="1">
        <f>M270</f>
        <v>115905.43000000002</v>
      </c>
      <c r="N74" s="1">
        <f t="shared" si="126"/>
        <v>946645.51</v>
      </c>
      <c r="P74" s="1">
        <f t="shared" ref="P74:P144" si="129">(N74-M74)/11</f>
        <v>75521.825454545455</v>
      </c>
      <c r="Q74" s="1">
        <f t="shared" ref="Q74:Q144" si="130">M74-P74</f>
        <v>40383.604545454567</v>
      </c>
    </row>
    <row r="75" spans="1:17" x14ac:dyDescent="0.3">
      <c r="A75" s="73" t="s">
        <v>57</v>
      </c>
      <c r="B75" s="8">
        <f t="shared" ref="B75:G75" si="131">-B285</f>
        <v>-81297.39</v>
      </c>
      <c r="C75" s="8">
        <f t="shared" si="131"/>
        <v>-60573.55</v>
      </c>
      <c r="D75" s="8">
        <f t="shared" si="131"/>
        <v>-54599.840000000004</v>
      </c>
      <c r="E75" s="7">
        <f t="shared" si="131"/>
        <v>-82044.150000000009</v>
      </c>
      <c r="F75" s="7">
        <f t="shared" si="131"/>
        <v>-105834.51000000001</v>
      </c>
      <c r="G75" s="7">
        <f t="shared" si="131"/>
        <v>-92499.849999999991</v>
      </c>
      <c r="H75" s="1">
        <f t="shared" ref="H75:I75" si="132">-H285</f>
        <v>-94568.209999999992</v>
      </c>
      <c r="I75" s="1">
        <f t="shared" si="132"/>
        <v>-83366.98</v>
      </c>
      <c r="J75" s="1">
        <f>-J285</f>
        <v>211658.71</v>
      </c>
      <c r="K75" s="1">
        <f>-K285</f>
        <v>-66662.75</v>
      </c>
      <c r="L75" s="1">
        <f>-L285</f>
        <v>-75012.94</v>
      </c>
      <c r="M75" s="1">
        <f>-M285</f>
        <v>-106003.87000000001</v>
      </c>
      <c r="N75" s="1">
        <f t="shared" si="126"/>
        <v>-690805.33</v>
      </c>
      <c r="P75" s="1">
        <f t="shared" si="129"/>
        <v>-53163.769090909089</v>
      </c>
      <c r="Q75" s="1">
        <f t="shared" si="130"/>
        <v>-52840.100909090921</v>
      </c>
    </row>
    <row r="76" spans="1:17" x14ac:dyDescent="0.3">
      <c r="A76" s="73" t="s">
        <v>58</v>
      </c>
      <c r="B76" s="8">
        <f>B131</f>
        <v>-3595.4</v>
      </c>
      <c r="C76" s="8">
        <f>C131</f>
        <v>-2471.31</v>
      </c>
      <c r="D76" s="8">
        <f>D131</f>
        <v>-4621.22</v>
      </c>
      <c r="E76" s="7">
        <f t="shared" ref="E76:J76" si="133">E131</f>
        <v>-5799.91</v>
      </c>
      <c r="F76" s="7">
        <f>F131</f>
        <v>-1360.64</v>
      </c>
      <c r="G76" s="7">
        <f t="shared" si="133"/>
        <v>-1536.21</v>
      </c>
      <c r="H76" s="1">
        <f t="shared" ref="H76" si="134">H131</f>
        <v>-2242.15</v>
      </c>
      <c r="I76" s="1">
        <f t="shared" si="133"/>
        <v>-4335.7700000000004</v>
      </c>
      <c r="J76" s="1">
        <f t="shared" si="133"/>
        <v>-2948.83</v>
      </c>
      <c r="K76" s="1">
        <f t="shared" ref="K76:L76" si="135">K131</f>
        <v>-5190.07</v>
      </c>
      <c r="L76" s="1">
        <f t="shared" si="135"/>
        <v>1017.16</v>
      </c>
      <c r="M76" s="1">
        <f t="shared" ref="M76" si="136">M131</f>
        <v>6716.08</v>
      </c>
      <c r="N76" s="1">
        <f t="shared" si="126"/>
        <v>-26368.269999999997</v>
      </c>
      <c r="P76" s="1">
        <f t="shared" si="129"/>
        <v>-3007.6681818181819</v>
      </c>
      <c r="Q76" s="1">
        <f t="shared" si="130"/>
        <v>9723.7481818181823</v>
      </c>
    </row>
    <row r="77" spans="1:17" x14ac:dyDescent="0.3">
      <c r="A77" s="73" t="s">
        <v>59</v>
      </c>
      <c r="B77" s="4">
        <f>SUM(B72:B76)</f>
        <v>628181.32999999996</v>
      </c>
      <c r="C77" s="4">
        <f>SUM(C72:C76)</f>
        <v>559507.07999999984</v>
      </c>
      <c r="D77" s="4">
        <f t="shared" ref="D77:L77" si="137">SUM(D72:D76)</f>
        <v>574445.99</v>
      </c>
      <c r="E77" s="4">
        <f>SUM(E72:E76)</f>
        <v>542352.21999999986</v>
      </c>
      <c r="F77" s="4">
        <f t="shared" si="137"/>
        <v>588988.53</v>
      </c>
      <c r="G77" s="4">
        <f t="shared" si="137"/>
        <v>619196.55999999994</v>
      </c>
      <c r="H77" s="4">
        <f>SUM(H72:H76)</f>
        <v>641270.23</v>
      </c>
      <c r="I77" s="4">
        <f>SUM(I72:I76)</f>
        <v>611116.18999999994</v>
      </c>
      <c r="J77" s="4">
        <f t="shared" si="137"/>
        <v>-299505.45000000013</v>
      </c>
      <c r="K77" s="4">
        <f t="shared" si="137"/>
        <v>544797.88000000012</v>
      </c>
      <c r="L77" s="4">
        <f t="shared" si="137"/>
        <v>421370.29999999993</v>
      </c>
      <c r="M77" s="4">
        <f>SUM(M72:M76)</f>
        <v>668052.55999999994</v>
      </c>
      <c r="N77" s="4">
        <f>SUM(N72:N76)</f>
        <v>6099773.4200000009</v>
      </c>
      <c r="P77" s="4">
        <f t="shared" si="129"/>
        <v>493792.8054545456</v>
      </c>
      <c r="Q77" s="4">
        <f t="shared" si="130"/>
        <v>174259.75454545434</v>
      </c>
    </row>
    <row r="78" spans="1:17" ht="27" customHeight="1" thickBot="1" x14ac:dyDescent="0.35">
      <c r="A78" s="73" t="s">
        <v>60</v>
      </c>
      <c r="B78" s="9">
        <f t="shared" ref="B78:N78" si="138">+B35+B70-B77</f>
        <v>65733.430000119261</v>
      </c>
      <c r="C78" s="9">
        <f t="shared" si="138"/>
        <v>62568.98999979021</v>
      </c>
      <c r="D78" s="9">
        <f t="shared" si="138"/>
        <v>190852.60999993084</v>
      </c>
      <c r="E78" s="9">
        <f t="shared" si="138"/>
        <v>-70572.120000041556</v>
      </c>
      <c r="F78" s="9">
        <f t="shared" si="138"/>
        <v>-203742.99999999651</v>
      </c>
      <c r="G78" s="9">
        <f t="shared" si="138"/>
        <v>-88358.510000057169</v>
      </c>
      <c r="H78" s="9">
        <f t="shared" si="138"/>
        <v>-303625.03999997611</v>
      </c>
      <c r="I78" s="9">
        <f t="shared" si="138"/>
        <v>-208857.14999994752</v>
      </c>
      <c r="J78" s="9">
        <f t="shared" si="138"/>
        <v>624726.29000006453</v>
      </c>
      <c r="K78" s="9">
        <f t="shared" si="138"/>
        <v>-30452.229999876115</v>
      </c>
      <c r="L78" s="9">
        <f t="shared" si="138"/>
        <v>-220404.46999987477</v>
      </c>
      <c r="M78" s="9">
        <f t="shared" si="138"/>
        <v>-388476.5599999355</v>
      </c>
      <c r="N78" s="23">
        <f t="shared" si="138"/>
        <v>-570607.75999881793</v>
      </c>
      <c r="P78" s="9">
        <f t="shared" si="129"/>
        <v>-16557.381818080219</v>
      </c>
      <c r="Q78" s="9">
        <f t="shared" si="130"/>
        <v>-371919.1781818553</v>
      </c>
    </row>
    <row r="79" spans="1:17" ht="15" thickTop="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P79">
        <f t="shared" si="129"/>
        <v>0</v>
      </c>
      <c r="Q79">
        <f t="shared" si="130"/>
        <v>0</v>
      </c>
    </row>
    <row r="80" spans="1:17" x14ac:dyDescent="0.3">
      <c r="A80" s="73" t="s">
        <v>61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>
        <f t="shared" si="129"/>
        <v>0</v>
      </c>
      <c r="Q80">
        <f t="shared" si="130"/>
        <v>0</v>
      </c>
    </row>
    <row r="81" spans="1:17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1">
        <f t="shared" si="129"/>
        <v>0</v>
      </c>
      <c r="Q81" s="1">
        <f t="shared" si="130"/>
        <v>0</v>
      </c>
    </row>
    <row r="82" spans="1:17" hidden="1" x14ac:dyDescent="0.3">
      <c r="B82" s="1">
        <f t="shared" ref="B82:K82" si="139">+B78-B81</f>
        <v>65733.430000119261</v>
      </c>
      <c r="C82" s="1">
        <f t="shared" si="139"/>
        <v>62568.98999979021</v>
      </c>
      <c r="D82" s="1">
        <f t="shared" si="139"/>
        <v>190852.60999993084</v>
      </c>
      <c r="E82" s="1">
        <f t="shared" si="139"/>
        <v>-70572.120000041556</v>
      </c>
      <c r="F82" s="1">
        <f t="shared" si="139"/>
        <v>-203742.99999999651</v>
      </c>
      <c r="G82" s="1">
        <f t="shared" si="139"/>
        <v>-88358.510000057169</v>
      </c>
      <c r="H82" s="1">
        <f t="shared" ref="H82" si="140">+H78-H81</f>
        <v>-303625.03999997611</v>
      </c>
      <c r="I82" s="1">
        <f t="shared" si="139"/>
        <v>-208857.14999994752</v>
      </c>
      <c r="J82" s="1">
        <f t="shared" si="139"/>
        <v>624726.29000006453</v>
      </c>
      <c r="K82" s="1">
        <f t="shared" si="139"/>
        <v>-30452.229999876115</v>
      </c>
      <c r="L82" s="1">
        <v>0</v>
      </c>
      <c r="M82" s="1"/>
      <c r="N82" s="1">
        <v>0</v>
      </c>
      <c r="P82" s="1">
        <f t="shared" si="129"/>
        <v>0</v>
      </c>
      <c r="Q82" s="1">
        <f t="shared" si="130"/>
        <v>0</v>
      </c>
    </row>
    <row r="83" spans="1:17" ht="15" thickBot="1" x14ac:dyDescent="0.3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>
        <f t="shared" si="129"/>
        <v>0</v>
      </c>
      <c r="Q83">
        <f t="shared" si="130"/>
        <v>0</v>
      </c>
    </row>
    <row r="84" spans="1:17" x14ac:dyDescent="0.3">
      <c r="A84" s="76" t="s">
        <v>62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9"/>
      <c r="P84" s="19">
        <f t="shared" si="129"/>
        <v>0</v>
      </c>
      <c r="Q84" s="19">
        <f t="shared" si="130"/>
        <v>0</v>
      </c>
    </row>
    <row r="85" spans="1:17" x14ac:dyDescent="0.3">
      <c r="A85" s="77" t="s">
        <v>39</v>
      </c>
      <c r="B85" s="1">
        <f t="shared" ref="B85:E86" si="141">+B55</f>
        <v>0</v>
      </c>
      <c r="C85" s="1">
        <f t="shared" si="141"/>
        <v>0</v>
      </c>
      <c r="D85" s="1">
        <f t="shared" si="141"/>
        <v>0</v>
      </c>
      <c r="E85" s="1">
        <f t="shared" si="141"/>
        <v>0</v>
      </c>
      <c r="F85" s="1">
        <f>F106</f>
        <v>0</v>
      </c>
      <c r="G85" s="1">
        <f t="shared" ref="G85:L86" si="142">+G55</f>
        <v>0</v>
      </c>
      <c r="H85" s="1">
        <f t="shared" ref="H85" si="143">+H55</f>
        <v>0</v>
      </c>
      <c r="I85" s="1">
        <f t="shared" si="142"/>
        <v>0</v>
      </c>
      <c r="J85" s="1">
        <f t="shared" si="142"/>
        <v>0</v>
      </c>
      <c r="K85" s="1">
        <f t="shared" si="142"/>
        <v>0</v>
      </c>
      <c r="L85" s="1">
        <f t="shared" si="142"/>
        <v>0</v>
      </c>
      <c r="M85" s="1">
        <f t="shared" ref="M85" si="144">+M55</f>
        <v>0</v>
      </c>
      <c r="N85" s="20">
        <f>SUM(B85:M85)</f>
        <v>0</v>
      </c>
      <c r="P85" s="20">
        <f t="shared" si="129"/>
        <v>0</v>
      </c>
      <c r="Q85" s="20">
        <f t="shared" si="130"/>
        <v>0</v>
      </c>
    </row>
    <row r="86" spans="1:17" x14ac:dyDescent="0.3">
      <c r="A86" s="77" t="s">
        <v>63</v>
      </c>
      <c r="B86" s="1">
        <f t="shared" si="141"/>
        <v>44174.48</v>
      </c>
      <c r="C86" s="1">
        <f t="shared" si="141"/>
        <v>37026.959999999999</v>
      </c>
      <c r="D86" s="1">
        <f t="shared" si="141"/>
        <v>50952.97</v>
      </c>
      <c r="E86" s="1">
        <f t="shared" si="141"/>
        <v>17383</v>
      </c>
      <c r="F86" s="1">
        <f>F112+F123</f>
        <v>6537.5</v>
      </c>
      <c r="G86" s="1">
        <f t="shared" si="142"/>
        <v>12690.5</v>
      </c>
      <c r="H86" s="1">
        <f t="shared" ref="H86" si="145">+H56</f>
        <v>14136.99</v>
      </c>
      <c r="I86" s="1">
        <f t="shared" si="142"/>
        <v>3546</v>
      </c>
      <c r="J86" s="1">
        <f t="shared" si="142"/>
        <v>6577.55</v>
      </c>
      <c r="K86" s="1">
        <f t="shared" si="142"/>
        <v>18560.79</v>
      </c>
      <c r="L86" s="1">
        <f t="shared" si="142"/>
        <v>30425.09</v>
      </c>
      <c r="M86" s="1">
        <f t="shared" ref="M86" si="146">+M56</f>
        <v>189608.23</v>
      </c>
      <c r="N86" s="20">
        <f>SUM(B86:M86)</f>
        <v>431620.06</v>
      </c>
      <c r="P86" s="20">
        <f t="shared" si="129"/>
        <v>22001.075454545455</v>
      </c>
      <c r="Q86" s="20">
        <f t="shared" si="130"/>
        <v>167607.15454545454</v>
      </c>
    </row>
    <row r="87" spans="1:17" x14ac:dyDescent="0.3">
      <c r="A87" s="77" t="s">
        <v>64</v>
      </c>
      <c r="B87" s="4">
        <f>SUM(B85:B86)</f>
        <v>44174.48</v>
      </c>
      <c r="C87" s="4">
        <f t="shared" ref="C87:J87" si="147">SUM(C85:C86)</f>
        <v>37026.959999999999</v>
      </c>
      <c r="D87" s="4">
        <f t="shared" si="147"/>
        <v>50952.97</v>
      </c>
      <c r="E87" s="4">
        <f t="shared" si="147"/>
        <v>17383</v>
      </c>
      <c r="F87" s="4">
        <f t="shared" si="147"/>
        <v>6537.5</v>
      </c>
      <c r="G87" s="4">
        <f t="shared" si="147"/>
        <v>12690.5</v>
      </c>
      <c r="H87" s="4">
        <f t="shared" ref="H87" si="148">SUM(H85:H86)</f>
        <v>14136.99</v>
      </c>
      <c r="I87" s="4">
        <f t="shared" si="147"/>
        <v>3546</v>
      </c>
      <c r="J87" s="4">
        <f t="shared" si="147"/>
        <v>6577.55</v>
      </c>
      <c r="K87" s="4">
        <f>SUM(K85:K86)</f>
        <v>18560.79</v>
      </c>
      <c r="L87" s="4">
        <f>SUM(L85:L86)</f>
        <v>30425.09</v>
      </c>
      <c r="M87" s="4">
        <f>SUM(M85:M86)</f>
        <v>189608.23</v>
      </c>
      <c r="N87" s="21">
        <f>SUM(N85:N86)</f>
        <v>431620.06</v>
      </c>
      <c r="P87" s="21">
        <f t="shared" si="129"/>
        <v>22001.075454545455</v>
      </c>
      <c r="Q87" s="21">
        <f t="shared" si="130"/>
        <v>167607.15454545454</v>
      </c>
    </row>
    <row r="88" spans="1:17" x14ac:dyDescent="0.3">
      <c r="A88" s="7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2"/>
      <c r="P88" s="22">
        <f t="shared" si="129"/>
        <v>0</v>
      </c>
      <c r="Q88" s="22">
        <f t="shared" si="130"/>
        <v>0</v>
      </c>
    </row>
    <row r="89" spans="1:17" x14ac:dyDescent="0.3">
      <c r="A89" s="77" t="s">
        <v>65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2"/>
      <c r="P89" s="22">
        <f t="shared" si="129"/>
        <v>0</v>
      </c>
      <c r="Q89" s="22">
        <f t="shared" si="130"/>
        <v>0</v>
      </c>
    </row>
    <row r="90" spans="1:17" x14ac:dyDescent="0.3">
      <c r="A90" s="77" t="s">
        <v>66</v>
      </c>
      <c r="B90" s="1">
        <f>+B61</f>
        <v>0</v>
      </c>
      <c r="C90" s="1">
        <f>+C61</f>
        <v>0</v>
      </c>
      <c r="D90" s="1">
        <f>+D61</f>
        <v>0</v>
      </c>
      <c r="E90" s="1">
        <f>+E61</f>
        <v>0</v>
      </c>
      <c r="F90" s="1">
        <f>F132</f>
        <v>0</v>
      </c>
      <c r="G90" s="1">
        <f t="shared" ref="G90:L90" si="149">+G61</f>
        <v>0</v>
      </c>
      <c r="H90" s="1">
        <f t="shared" ref="H90" si="150">+H61</f>
        <v>0</v>
      </c>
      <c r="I90" s="1">
        <f t="shared" si="149"/>
        <v>0</v>
      </c>
      <c r="J90" s="1">
        <f t="shared" si="149"/>
        <v>0</v>
      </c>
      <c r="K90" s="1">
        <f t="shared" si="149"/>
        <v>0</v>
      </c>
      <c r="L90" s="1">
        <f t="shared" si="149"/>
        <v>0</v>
      </c>
      <c r="M90" s="1">
        <f t="shared" ref="M90" si="151">+M61</f>
        <v>0</v>
      </c>
      <c r="N90" s="20">
        <f>SUM(B90:M90)</f>
        <v>0</v>
      </c>
      <c r="P90" s="20">
        <f t="shared" si="129"/>
        <v>0</v>
      </c>
      <c r="Q90" s="20">
        <f t="shared" si="130"/>
        <v>0</v>
      </c>
    </row>
    <row r="91" spans="1:17" x14ac:dyDescent="0.3">
      <c r="A91" s="77" t="s">
        <v>67</v>
      </c>
      <c r="B91" s="1">
        <f t="shared" ref="B91:G91" si="152">B143</f>
        <v>47744.73</v>
      </c>
      <c r="C91" s="1">
        <f t="shared" si="152"/>
        <v>40318.61</v>
      </c>
      <c r="D91" s="1">
        <f t="shared" si="152"/>
        <v>53566.29</v>
      </c>
      <c r="E91" s="1">
        <f t="shared" si="152"/>
        <v>-3427.84</v>
      </c>
      <c r="F91" s="1">
        <f t="shared" si="152"/>
        <v>5808.03</v>
      </c>
      <c r="G91" s="1">
        <f t="shared" si="152"/>
        <v>11225.63</v>
      </c>
      <c r="H91" s="1">
        <f t="shared" ref="H91:L91" si="153">+H62</f>
        <v>20530.47</v>
      </c>
      <c r="I91" s="1">
        <f t="shared" si="153"/>
        <v>5400.13</v>
      </c>
      <c r="J91" s="1">
        <f t="shared" si="153"/>
        <v>10087.08</v>
      </c>
      <c r="K91" s="1">
        <f t="shared" si="153"/>
        <v>20598.52</v>
      </c>
      <c r="L91" s="1">
        <f t="shared" si="153"/>
        <v>28536.52</v>
      </c>
      <c r="M91" s="1">
        <f t="shared" ref="M91" si="154">+M62</f>
        <v>218961.68</v>
      </c>
      <c r="N91" s="20">
        <f t="shared" ref="N91:N94" si="155">SUM(B91:M91)</f>
        <v>459349.85</v>
      </c>
      <c r="P91" s="20">
        <f t="shared" si="129"/>
        <v>21853.469999999998</v>
      </c>
      <c r="Q91" s="20">
        <f t="shared" si="130"/>
        <v>197108.21</v>
      </c>
    </row>
    <row r="92" spans="1:17" x14ac:dyDescent="0.3">
      <c r="A92" s="77" t="s">
        <v>68</v>
      </c>
      <c r="B92" s="1">
        <f t="shared" ref="B92:L92" si="156">B175</f>
        <v>0</v>
      </c>
      <c r="C92" s="1">
        <f t="shared" si="156"/>
        <v>800</v>
      </c>
      <c r="D92" s="1">
        <f t="shared" si="156"/>
        <v>0</v>
      </c>
      <c r="E92" s="1">
        <f t="shared" si="156"/>
        <v>0</v>
      </c>
      <c r="F92" s="1">
        <f t="shared" si="156"/>
        <v>0</v>
      </c>
      <c r="G92" s="1">
        <f t="shared" si="156"/>
        <v>0</v>
      </c>
      <c r="H92" s="1">
        <f t="shared" ref="H92" si="157">H175</f>
        <v>0</v>
      </c>
      <c r="I92" s="1">
        <f t="shared" si="156"/>
        <v>0</v>
      </c>
      <c r="J92" s="1">
        <f t="shared" si="156"/>
        <v>0</v>
      </c>
      <c r="K92" s="1">
        <f t="shared" si="156"/>
        <v>0</v>
      </c>
      <c r="L92" s="1">
        <f t="shared" si="156"/>
        <v>-6400</v>
      </c>
      <c r="M92" s="1">
        <f t="shared" ref="M92" si="158">M175</f>
        <v>0</v>
      </c>
      <c r="N92" s="20">
        <f t="shared" si="155"/>
        <v>-5600</v>
      </c>
      <c r="P92" s="20">
        <f t="shared" si="129"/>
        <v>-509.09090909090907</v>
      </c>
      <c r="Q92" s="20">
        <f t="shared" si="130"/>
        <v>509.09090909090907</v>
      </c>
    </row>
    <row r="93" spans="1:17" x14ac:dyDescent="0.3">
      <c r="A93" s="77" t="s">
        <v>69</v>
      </c>
      <c r="B93" s="1">
        <f>B187</f>
        <v>1.87</v>
      </c>
      <c r="C93" s="1">
        <f t="shared" ref="C93:L93" si="159">C187</f>
        <v>0</v>
      </c>
      <c r="D93" s="1">
        <f t="shared" si="159"/>
        <v>-115.12</v>
      </c>
      <c r="E93" s="1">
        <f t="shared" si="159"/>
        <v>3216.06</v>
      </c>
      <c r="F93" s="1">
        <f t="shared" si="159"/>
        <v>-2308</v>
      </c>
      <c r="G93" s="1">
        <f t="shared" si="159"/>
        <v>0</v>
      </c>
      <c r="H93" s="1">
        <f t="shared" ref="H93" si="160">H187</f>
        <v>0</v>
      </c>
      <c r="I93" s="1">
        <f t="shared" si="159"/>
        <v>0</v>
      </c>
      <c r="J93" s="1">
        <f t="shared" si="159"/>
        <v>0</v>
      </c>
      <c r="K93" s="1">
        <f t="shared" si="159"/>
        <v>0</v>
      </c>
      <c r="L93" s="1">
        <f t="shared" si="159"/>
        <v>0.4</v>
      </c>
      <c r="M93" s="1">
        <f t="shared" ref="M93" si="161">M187</f>
        <v>0</v>
      </c>
      <c r="N93" s="20">
        <f t="shared" si="155"/>
        <v>795.20999999999992</v>
      </c>
      <c r="P93" s="20">
        <f t="shared" si="129"/>
        <v>72.291818181818172</v>
      </c>
      <c r="Q93" s="20">
        <f t="shared" si="130"/>
        <v>-72.291818181818172</v>
      </c>
    </row>
    <row r="94" spans="1:17" x14ac:dyDescent="0.3">
      <c r="A94" s="77" t="s">
        <v>70</v>
      </c>
      <c r="B94" s="1">
        <f>B68</f>
        <v>0</v>
      </c>
      <c r="C94" s="1">
        <f>C68</f>
        <v>878</v>
      </c>
      <c r="D94" s="1">
        <f>D68</f>
        <v>0</v>
      </c>
      <c r="E94" s="1">
        <f>E68</f>
        <v>0</v>
      </c>
      <c r="F94" s="1">
        <f>F182</f>
        <v>620</v>
      </c>
      <c r="G94" s="1">
        <f t="shared" ref="G94:L94" si="162">G68</f>
        <v>0</v>
      </c>
      <c r="H94" s="1">
        <f t="shared" ref="H94" si="163">H68</f>
        <v>12</v>
      </c>
      <c r="I94" s="1">
        <f t="shared" si="162"/>
        <v>0</v>
      </c>
      <c r="J94" s="1">
        <f t="shared" si="162"/>
        <v>0</v>
      </c>
      <c r="K94" s="1">
        <f t="shared" si="162"/>
        <v>0</v>
      </c>
      <c r="L94" s="1">
        <f t="shared" si="162"/>
        <v>0</v>
      </c>
      <c r="M94" s="1">
        <f t="shared" ref="M94" si="164">M68</f>
        <v>303.94</v>
      </c>
      <c r="N94" s="20">
        <f t="shared" si="155"/>
        <v>1813.94</v>
      </c>
      <c r="P94" s="20">
        <f t="shared" si="129"/>
        <v>137.27272727272728</v>
      </c>
      <c r="Q94" s="20">
        <f t="shared" si="130"/>
        <v>166.66727272727272</v>
      </c>
    </row>
    <row r="95" spans="1:17" x14ac:dyDescent="0.3">
      <c r="A95" s="77"/>
      <c r="B95" s="4">
        <f>SUM(B90:B94)</f>
        <v>47746.600000000006</v>
      </c>
      <c r="C95" s="4">
        <f t="shared" ref="C95:L95" si="165">SUM(C90:C94)</f>
        <v>41996.61</v>
      </c>
      <c r="D95" s="4">
        <f t="shared" si="165"/>
        <v>53451.17</v>
      </c>
      <c r="E95" s="4">
        <f t="shared" si="165"/>
        <v>-211.7800000000002</v>
      </c>
      <c r="F95" s="4">
        <f t="shared" si="165"/>
        <v>4120.03</v>
      </c>
      <c r="G95" s="4">
        <f t="shared" si="165"/>
        <v>11225.63</v>
      </c>
      <c r="H95" s="4">
        <f t="shared" ref="H95" si="166">SUM(H90:H94)</f>
        <v>20542.47</v>
      </c>
      <c r="I95" s="4">
        <f t="shared" si="165"/>
        <v>5400.13</v>
      </c>
      <c r="J95" s="4">
        <f t="shared" si="165"/>
        <v>10087.08</v>
      </c>
      <c r="K95" s="4">
        <f t="shared" si="165"/>
        <v>20598.52</v>
      </c>
      <c r="L95" s="4">
        <f t="shared" si="165"/>
        <v>22136.920000000002</v>
      </c>
      <c r="M95" s="4">
        <f>SUM(M90:M94)</f>
        <v>219265.62</v>
      </c>
      <c r="N95" s="21">
        <f>SUM(N90:N94)</f>
        <v>456359</v>
      </c>
      <c r="P95" s="21">
        <f t="shared" si="129"/>
        <v>21553.943636363638</v>
      </c>
      <c r="Q95" s="21">
        <f t="shared" si="130"/>
        <v>197711.67636363636</v>
      </c>
    </row>
    <row r="96" spans="1:17" ht="27" customHeight="1" thickBot="1" x14ac:dyDescent="0.35">
      <c r="A96" s="77"/>
      <c r="B96" s="23">
        <f>+B87-B95</f>
        <v>-3572.1200000000026</v>
      </c>
      <c r="C96" s="23">
        <f t="shared" ref="C96:L96" si="167">+C87-C95</f>
        <v>-4969.6500000000015</v>
      </c>
      <c r="D96" s="23">
        <f t="shared" si="167"/>
        <v>-2498.1999999999971</v>
      </c>
      <c r="E96" s="23">
        <f t="shared" si="167"/>
        <v>17594.78</v>
      </c>
      <c r="F96" s="23">
        <f t="shared" si="167"/>
        <v>2417.4700000000003</v>
      </c>
      <c r="G96" s="23">
        <f t="shared" si="167"/>
        <v>1464.8700000000008</v>
      </c>
      <c r="H96" s="23">
        <f t="shared" ref="H96" si="168">+H87-H95</f>
        <v>-6405.4800000000014</v>
      </c>
      <c r="I96" s="23">
        <f t="shared" si="167"/>
        <v>-1854.13</v>
      </c>
      <c r="J96" s="23">
        <f t="shared" si="167"/>
        <v>-3509.5299999999997</v>
      </c>
      <c r="K96" s="23">
        <f t="shared" si="167"/>
        <v>-2037.7299999999996</v>
      </c>
      <c r="L96" s="23">
        <f t="shared" si="167"/>
        <v>8288.1699999999983</v>
      </c>
      <c r="M96" s="23">
        <f>+M87-M95</f>
        <v>-29657.389999999985</v>
      </c>
      <c r="N96" s="24">
        <f>+N87-N95</f>
        <v>-24738.940000000002</v>
      </c>
      <c r="P96" s="24">
        <f t="shared" si="129"/>
        <v>447.13181818181658</v>
      </c>
      <c r="Q96" s="24">
        <f t="shared" si="130"/>
        <v>-30104.521818181802</v>
      </c>
    </row>
    <row r="97" spans="1:17" ht="15.6" thickTop="1" thickBot="1" x14ac:dyDescent="0.35">
      <c r="A97" s="78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/>
      <c r="P97" s="26">
        <f t="shared" si="129"/>
        <v>0</v>
      </c>
      <c r="Q97" s="26">
        <f t="shared" si="130"/>
        <v>0</v>
      </c>
    </row>
    <row r="98" spans="1:17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>
        <f t="shared" si="129"/>
        <v>0</v>
      </c>
      <c r="Q98">
        <f t="shared" si="130"/>
        <v>0</v>
      </c>
    </row>
    <row r="99" spans="1:17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>
        <f t="shared" si="129"/>
        <v>0</v>
      </c>
      <c r="Q99">
        <f t="shared" si="130"/>
        <v>0</v>
      </c>
    </row>
    <row r="100" spans="1:17" ht="30.75" customHeight="1" x14ac:dyDescent="0.3">
      <c r="A100" s="73" t="s">
        <v>71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6">
        <f>SUM(B100:M100)</f>
        <v>0</v>
      </c>
      <c r="P100" s="6">
        <f t="shared" si="129"/>
        <v>0</v>
      </c>
      <c r="Q100" s="6">
        <f t="shared" si="130"/>
        <v>0</v>
      </c>
    </row>
    <row r="101" spans="1:17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>
        <f t="shared" si="129"/>
        <v>0</v>
      </c>
      <c r="Q101">
        <f t="shared" si="130"/>
        <v>0</v>
      </c>
    </row>
    <row r="102" spans="1:17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>
        <f t="shared" si="129"/>
        <v>0</v>
      </c>
      <c r="Q102">
        <f t="shared" si="130"/>
        <v>0</v>
      </c>
    </row>
    <row r="103" spans="1:17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P103">
        <f t="shared" si="129"/>
        <v>0</v>
      </c>
      <c r="Q103">
        <f t="shared" si="130"/>
        <v>0</v>
      </c>
    </row>
    <row r="104" spans="1:17" s="27" customFormat="1" ht="15" thickBot="1" x14ac:dyDescent="0.35">
      <c r="A104" s="79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P104" s="27">
        <f t="shared" si="129"/>
        <v>0</v>
      </c>
      <c r="Q104" s="27">
        <f t="shared" si="130"/>
        <v>0</v>
      </c>
    </row>
    <row r="105" spans="1:17" x14ac:dyDescent="0.3">
      <c r="A105" s="10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P105">
        <f t="shared" si="129"/>
        <v>0</v>
      </c>
      <c r="Q105">
        <f t="shared" si="130"/>
        <v>0</v>
      </c>
    </row>
    <row r="106" spans="1:17" x14ac:dyDescent="0.3">
      <c r="A106" s="73" t="s">
        <v>72</v>
      </c>
      <c r="B106" s="1">
        <v>0</v>
      </c>
      <c r="C106" s="1">
        <v>0</v>
      </c>
      <c r="D106" s="1">
        <v>0</v>
      </c>
      <c r="E106" s="1"/>
      <c r="F106" s="1"/>
      <c r="G106" s="1">
        <v>0</v>
      </c>
      <c r="H106" s="1">
        <v>0</v>
      </c>
      <c r="I106" s="1">
        <v>0</v>
      </c>
      <c r="J106" s="1">
        <v>0</v>
      </c>
      <c r="K106" s="1"/>
      <c r="L106" s="1"/>
      <c r="M106" s="1"/>
      <c r="N106" s="1">
        <f>SUM(B106:M106)</f>
        <v>0</v>
      </c>
      <c r="P106" s="1">
        <f t="shared" si="129"/>
        <v>0</v>
      </c>
      <c r="Q106" s="1">
        <f t="shared" si="130"/>
        <v>0</v>
      </c>
    </row>
    <row r="107" spans="1:17" x14ac:dyDescent="0.3">
      <c r="A107" s="73" t="s">
        <v>73</v>
      </c>
      <c r="B107" s="1">
        <v>154744703.27000001</v>
      </c>
      <c r="C107" s="1">
        <v>123954975.27</v>
      </c>
      <c r="D107" s="1">
        <v>101935013.19</v>
      </c>
      <c r="E107" s="1">
        <v>92863307.959999993</v>
      </c>
      <c r="F107" s="1">
        <v>94258757.019999996</v>
      </c>
      <c r="G107" s="1">
        <v>97605649.239999995</v>
      </c>
      <c r="H107" s="1">
        <v>123097958.22</v>
      </c>
      <c r="I107" s="1">
        <v>127862684.09999999</v>
      </c>
      <c r="J107" s="1">
        <v>96885769.400000006</v>
      </c>
      <c r="K107" s="1">
        <v>91117545.120000005</v>
      </c>
      <c r="L107" s="1">
        <v>79237235.719999999</v>
      </c>
      <c r="M107" s="1">
        <v>58673935.979999997</v>
      </c>
      <c r="N107" s="1">
        <f t="shared" ref="N107:N128" si="169">SUM(B107:M107)</f>
        <v>1242237534.49</v>
      </c>
      <c r="P107" s="1">
        <f t="shared" si="129"/>
        <v>107596690.77363636</v>
      </c>
      <c r="Q107" s="1">
        <f t="shared" si="130"/>
        <v>-48922754.793636359</v>
      </c>
    </row>
    <row r="108" spans="1:17" x14ac:dyDescent="0.3">
      <c r="A108" s="73" t="s">
        <v>74</v>
      </c>
      <c r="B108" s="1">
        <v>474420383.94999999</v>
      </c>
      <c r="C108" s="1">
        <v>1272769788.22</v>
      </c>
      <c r="D108" s="1">
        <v>305526926.99000001</v>
      </c>
      <c r="E108" s="1">
        <v>46941731.32</v>
      </c>
      <c r="F108" s="1">
        <v>115118797.62</v>
      </c>
      <c r="G108" s="1">
        <v>261188870.69</v>
      </c>
      <c r="H108" s="1">
        <v>167224902.31999999</v>
      </c>
      <c r="I108" s="1">
        <v>334958641.80000001</v>
      </c>
      <c r="J108" s="1">
        <v>240211825.59</v>
      </c>
      <c r="K108" s="1">
        <v>61729895.789999999</v>
      </c>
      <c r="L108" s="1">
        <v>139453291.03999999</v>
      </c>
      <c r="M108" s="1">
        <v>124654741.83</v>
      </c>
      <c r="N108" s="1">
        <f t="shared" si="169"/>
        <v>3544199797.1600003</v>
      </c>
      <c r="P108" s="1">
        <f t="shared" si="129"/>
        <v>310867732.30272728</v>
      </c>
      <c r="Q108" s="1">
        <f t="shared" si="130"/>
        <v>-186212990.4727273</v>
      </c>
    </row>
    <row r="109" spans="1:17" x14ac:dyDescent="0.3">
      <c r="A109" s="73" t="s">
        <v>75</v>
      </c>
      <c r="B109" s="1">
        <v>2898099.37</v>
      </c>
      <c r="C109" s="1">
        <v>2610105.7200000002</v>
      </c>
      <c r="D109" s="1">
        <v>622399.88</v>
      </c>
      <c r="E109" s="1">
        <v>1945746.84</v>
      </c>
      <c r="F109" s="1">
        <v>1927944.8</v>
      </c>
      <c r="G109" s="1">
        <v>474866.98</v>
      </c>
      <c r="H109" s="1">
        <v>1059505.05</v>
      </c>
      <c r="I109" s="1">
        <v>1458942.34</v>
      </c>
      <c r="J109" s="1">
        <v>319490.71999999997</v>
      </c>
      <c r="K109" s="1">
        <v>210539.64</v>
      </c>
      <c r="L109" s="1">
        <v>2119802.66</v>
      </c>
      <c r="M109" s="1">
        <v>1160065.28</v>
      </c>
      <c r="N109" s="1">
        <f t="shared" si="169"/>
        <v>16807509.280000001</v>
      </c>
      <c r="P109" s="1">
        <f t="shared" si="129"/>
        <v>1422494.9090909092</v>
      </c>
      <c r="Q109" s="1">
        <f t="shared" si="130"/>
        <v>-262429.62909090915</v>
      </c>
    </row>
    <row r="110" spans="1:17" x14ac:dyDescent="0.3">
      <c r="A110" s="73" t="s">
        <v>76</v>
      </c>
      <c r="B110" s="1">
        <v>3238349</v>
      </c>
      <c r="C110" s="1">
        <v>1478660.42</v>
      </c>
      <c r="D110" s="1">
        <v>1427673</v>
      </c>
      <c r="E110" s="1">
        <v>2167697.4500000002</v>
      </c>
      <c r="F110" s="1">
        <v>847867.6</v>
      </c>
      <c r="G110" s="1">
        <v>844240.5</v>
      </c>
      <c r="H110" s="1">
        <v>518684.94</v>
      </c>
      <c r="I110" s="1">
        <v>749745</v>
      </c>
      <c r="J110" s="1">
        <v>593767</v>
      </c>
      <c r="K110" s="1">
        <v>2838661.13</v>
      </c>
      <c r="L110" s="1">
        <v>1687433.35</v>
      </c>
      <c r="M110" s="1">
        <v>5351119</v>
      </c>
      <c r="N110" s="1">
        <f t="shared" si="169"/>
        <v>21743898.390000001</v>
      </c>
      <c r="P110" s="1">
        <f t="shared" si="129"/>
        <v>1490252.6718181819</v>
      </c>
      <c r="Q110" s="1">
        <f t="shared" si="130"/>
        <v>3860866.3281818181</v>
      </c>
    </row>
    <row r="111" spans="1:17" x14ac:dyDescent="0.3">
      <c r="A111" s="73" t="s">
        <v>77</v>
      </c>
      <c r="B111" s="1">
        <v>0</v>
      </c>
      <c r="C111" s="1">
        <v>0</v>
      </c>
      <c r="D111" s="1">
        <v>0</v>
      </c>
      <c r="E111" s="1">
        <v>0</v>
      </c>
      <c r="F111" s="1">
        <v>100</v>
      </c>
      <c r="G111" s="1">
        <v>0</v>
      </c>
      <c r="H111" s="1">
        <v>100</v>
      </c>
      <c r="I111" s="1">
        <v>275</v>
      </c>
      <c r="J111" s="1">
        <v>780</v>
      </c>
      <c r="K111" s="1">
        <v>145</v>
      </c>
      <c r="L111" s="1">
        <v>800</v>
      </c>
      <c r="M111" s="1">
        <v>9658.44</v>
      </c>
      <c r="N111" s="1">
        <f t="shared" si="169"/>
        <v>11858.44</v>
      </c>
      <c r="P111" s="1">
        <f t="shared" si="129"/>
        <v>200</v>
      </c>
      <c r="Q111" s="1">
        <f t="shared" si="130"/>
        <v>9458.44</v>
      </c>
    </row>
    <row r="112" spans="1:17" x14ac:dyDescent="0.3">
      <c r="A112" s="73" t="s">
        <v>78</v>
      </c>
      <c r="B112" s="1">
        <v>44174.48</v>
      </c>
      <c r="C112" s="1">
        <v>37026.959999999999</v>
      </c>
      <c r="D112" s="1">
        <v>50952.97</v>
      </c>
      <c r="E112" s="1">
        <v>17383</v>
      </c>
      <c r="F112" s="1">
        <v>6537.5</v>
      </c>
      <c r="G112" s="1">
        <v>12690.5</v>
      </c>
      <c r="H112" s="1">
        <v>14136.99</v>
      </c>
      <c r="I112" s="1">
        <v>3631</v>
      </c>
      <c r="J112" s="1">
        <v>6577.55</v>
      </c>
      <c r="K112" s="1">
        <v>18560.79</v>
      </c>
      <c r="L112" s="1">
        <v>30425.09</v>
      </c>
      <c r="M112" s="1">
        <v>189608.23</v>
      </c>
      <c r="N112" s="1">
        <f t="shared" si="169"/>
        <v>431705.06</v>
      </c>
      <c r="P112" s="1">
        <f t="shared" si="129"/>
        <v>22008.802727272727</v>
      </c>
      <c r="Q112" s="1">
        <f t="shared" si="130"/>
        <v>167599.42727272728</v>
      </c>
    </row>
    <row r="113" spans="1:17" x14ac:dyDescent="0.3">
      <c r="A113" s="73" t="s">
        <v>79</v>
      </c>
      <c r="B113" s="1">
        <v>0</v>
      </c>
      <c r="C113" s="1">
        <v>40000</v>
      </c>
      <c r="D113" s="1">
        <v>0</v>
      </c>
      <c r="E113" s="1">
        <v>0</v>
      </c>
      <c r="F113" s="1">
        <v>0</v>
      </c>
      <c r="G113" s="1">
        <v>0</v>
      </c>
      <c r="H113" s="1">
        <v>10000</v>
      </c>
      <c r="I113" s="1">
        <v>0</v>
      </c>
      <c r="J113" s="1">
        <v>0</v>
      </c>
      <c r="K113" s="1">
        <v>10700</v>
      </c>
      <c r="L113" s="1">
        <v>1800</v>
      </c>
      <c r="M113" s="1">
        <v>0</v>
      </c>
      <c r="N113" s="1">
        <f t="shared" si="169"/>
        <v>62500</v>
      </c>
      <c r="P113" s="1">
        <f t="shared" si="129"/>
        <v>5681.818181818182</v>
      </c>
      <c r="Q113" s="1">
        <f t="shared" si="130"/>
        <v>-5681.818181818182</v>
      </c>
    </row>
    <row r="114" spans="1:17" x14ac:dyDescent="0.3">
      <c r="A114" s="73" t="s">
        <v>80</v>
      </c>
      <c r="B114" s="1">
        <v>85825</v>
      </c>
      <c r="C114" s="1">
        <v>579872.5</v>
      </c>
      <c r="D114" s="1">
        <v>108078.75</v>
      </c>
      <c r="E114" s="1">
        <v>961999.14</v>
      </c>
      <c r="F114" s="1">
        <v>349854.6</v>
      </c>
      <c r="G114" s="1">
        <v>1360150.98</v>
      </c>
      <c r="H114" s="1">
        <v>454175</v>
      </c>
      <c r="I114" s="1">
        <v>875445</v>
      </c>
      <c r="J114" s="1">
        <v>461025</v>
      </c>
      <c r="K114" s="1">
        <v>664960</v>
      </c>
      <c r="L114" s="1">
        <v>720675</v>
      </c>
      <c r="M114" s="1">
        <v>423015</v>
      </c>
      <c r="N114" s="1">
        <f t="shared" si="169"/>
        <v>7045075.9700000007</v>
      </c>
      <c r="P114" s="1">
        <f t="shared" si="129"/>
        <v>602005.54272727284</v>
      </c>
      <c r="Q114" s="1">
        <f t="shared" si="130"/>
        <v>-178990.54272727284</v>
      </c>
    </row>
    <row r="115" spans="1:17" x14ac:dyDescent="0.3">
      <c r="A115" s="73" t="s">
        <v>81</v>
      </c>
      <c r="B115" s="1">
        <v>26781.78</v>
      </c>
      <c r="C115" s="1">
        <v>27848.98</v>
      </c>
      <c r="D115" s="1">
        <v>17975.66</v>
      </c>
      <c r="E115" s="1">
        <v>19219.95</v>
      </c>
      <c r="F115" s="1">
        <v>22546.73</v>
      </c>
      <c r="G115" s="1">
        <v>22323.95</v>
      </c>
      <c r="H115" s="1">
        <v>27263.29</v>
      </c>
      <c r="I115" s="1">
        <v>23494.07</v>
      </c>
      <c r="J115" s="1">
        <v>23850.720000000001</v>
      </c>
      <c r="K115" s="1">
        <v>18433.18</v>
      </c>
      <c r="L115" s="1">
        <v>12973.45</v>
      </c>
      <c r="M115" s="1">
        <v>37047.33</v>
      </c>
      <c r="N115" s="1">
        <f t="shared" si="169"/>
        <v>279759.09000000003</v>
      </c>
      <c r="P115" s="1">
        <f t="shared" si="129"/>
        <v>22064.705454545456</v>
      </c>
      <c r="Q115" s="1">
        <f t="shared" si="130"/>
        <v>14982.624545454546</v>
      </c>
    </row>
    <row r="116" spans="1:17" x14ac:dyDescent="0.3">
      <c r="A116" s="73" t="s">
        <v>82</v>
      </c>
      <c r="B116" s="1">
        <v>5348.08</v>
      </c>
      <c r="C116" s="1">
        <v>3319.45</v>
      </c>
      <c r="D116" s="1">
        <v>4134.66</v>
      </c>
      <c r="E116" s="1">
        <v>2672.3</v>
      </c>
      <c r="F116" s="1">
        <v>3055.3</v>
      </c>
      <c r="G116" s="1">
        <v>3045.54</v>
      </c>
      <c r="H116" s="1">
        <v>4022.15</v>
      </c>
      <c r="I116" s="1">
        <v>6517.32</v>
      </c>
      <c r="J116" s="1">
        <v>4329.42</v>
      </c>
      <c r="K116" s="1">
        <v>5529.92</v>
      </c>
      <c r="L116" s="1">
        <v>3482.32</v>
      </c>
      <c r="M116" s="1">
        <v>7679.17</v>
      </c>
      <c r="N116" s="1">
        <f t="shared" si="169"/>
        <v>53135.63</v>
      </c>
      <c r="P116" s="1">
        <f t="shared" si="129"/>
        <v>4132.4054545454546</v>
      </c>
      <c r="Q116" s="1">
        <f t="shared" si="130"/>
        <v>3546.7645454545454</v>
      </c>
    </row>
    <row r="117" spans="1:17" x14ac:dyDescent="0.3">
      <c r="A117" s="73" t="s">
        <v>83</v>
      </c>
      <c r="B117" s="1">
        <v>11966.67</v>
      </c>
      <c r="C117" s="1">
        <v>6875.97</v>
      </c>
      <c r="D117" s="1">
        <v>42473.86</v>
      </c>
      <c r="E117" s="1">
        <v>8332.3799999999992</v>
      </c>
      <c r="F117" s="1">
        <v>47717.82</v>
      </c>
      <c r="G117" s="1">
        <v>14103.21</v>
      </c>
      <c r="H117" s="1">
        <v>64030.9</v>
      </c>
      <c r="I117" s="1">
        <v>12097.62</v>
      </c>
      <c r="J117" s="1">
        <v>52150.96</v>
      </c>
      <c r="K117" s="1">
        <v>13372.82</v>
      </c>
      <c r="L117" s="1">
        <v>50469.61</v>
      </c>
      <c r="M117" s="1">
        <v>43129.01</v>
      </c>
      <c r="N117" s="1">
        <f t="shared" si="169"/>
        <v>366720.82999999996</v>
      </c>
      <c r="P117" s="1">
        <f t="shared" si="129"/>
        <v>29417.438181818176</v>
      </c>
      <c r="Q117" s="1">
        <f t="shared" si="130"/>
        <v>13711.571818181827</v>
      </c>
    </row>
    <row r="118" spans="1:17" x14ac:dyDescent="0.3">
      <c r="A118" s="73" t="s">
        <v>84</v>
      </c>
      <c r="B118" s="1">
        <v>-181274.6</v>
      </c>
      <c r="C118" s="1">
        <v>-14353247.48</v>
      </c>
      <c r="D118" s="1">
        <v>-865145</v>
      </c>
      <c r="E118" s="1">
        <v>-191768.9</v>
      </c>
      <c r="F118" s="1">
        <v>0</v>
      </c>
      <c r="G118" s="1">
        <v>-4824560.62</v>
      </c>
      <c r="H118" s="1">
        <v>-481109.16</v>
      </c>
      <c r="I118" s="1">
        <v>-1464419.23</v>
      </c>
      <c r="J118" s="1">
        <v>-3207158.47</v>
      </c>
      <c r="K118" s="1">
        <v>-7212416.5499999998</v>
      </c>
      <c r="L118" s="1">
        <v>-555999.32999999996</v>
      </c>
      <c r="M118" s="1">
        <v>-118638.58</v>
      </c>
      <c r="N118" s="1">
        <f t="shared" si="169"/>
        <v>-33455737.919999998</v>
      </c>
      <c r="P118" s="1">
        <f t="shared" si="129"/>
        <v>-3030645.3945454545</v>
      </c>
      <c r="Q118" s="1">
        <f t="shared" si="130"/>
        <v>2912006.8145454545</v>
      </c>
    </row>
    <row r="119" spans="1:17" x14ac:dyDescent="0.3">
      <c r="A119" s="73" t="s">
        <v>85</v>
      </c>
      <c r="B119" s="1">
        <v>-49890630.729999997</v>
      </c>
      <c r="C119" s="1">
        <v>-60452389.869999997</v>
      </c>
      <c r="D119" s="1">
        <v>-214404.86</v>
      </c>
      <c r="E119" s="1">
        <v>0</v>
      </c>
      <c r="F119" s="1">
        <v>-57992.4</v>
      </c>
      <c r="G119" s="1">
        <v>-225137.37</v>
      </c>
      <c r="H119" s="1">
        <v>-521496.35</v>
      </c>
      <c r="I119" s="1">
        <v>-10192938.970000001</v>
      </c>
      <c r="J119" s="1">
        <v>-826272.24</v>
      </c>
      <c r="K119" s="1">
        <v>-723408.49</v>
      </c>
      <c r="L119" s="1">
        <v>-111920</v>
      </c>
      <c r="M119" s="1">
        <v>-250369.24</v>
      </c>
      <c r="N119" s="1">
        <f t="shared" si="169"/>
        <v>-123466960.51999998</v>
      </c>
      <c r="P119" s="1">
        <f t="shared" si="129"/>
        <v>-11201508.298181817</v>
      </c>
      <c r="Q119" s="1">
        <f t="shared" si="130"/>
        <v>10951139.058181817</v>
      </c>
    </row>
    <row r="120" spans="1:17" x14ac:dyDescent="0.3">
      <c r="A120" s="73" t="s">
        <v>86</v>
      </c>
      <c r="B120" s="1">
        <v>-13395</v>
      </c>
      <c r="C120" s="1">
        <v>-13570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-8300</v>
      </c>
      <c r="J120" s="1">
        <v>0</v>
      </c>
      <c r="K120" s="1"/>
      <c r="L120" s="1"/>
      <c r="M120" s="1">
        <v>-9053.58</v>
      </c>
      <c r="N120" s="1">
        <f t="shared" si="169"/>
        <v>-44318.58</v>
      </c>
      <c r="P120" s="1">
        <f t="shared" si="129"/>
        <v>-3205.909090909091</v>
      </c>
      <c r="Q120" s="1">
        <f t="shared" si="130"/>
        <v>-5847.6709090909089</v>
      </c>
    </row>
    <row r="121" spans="1:17" x14ac:dyDescent="0.3">
      <c r="A121" s="73" t="s">
        <v>87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-59280</v>
      </c>
      <c r="H121" s="1">
        <v>0</v>
      </c>
      <c r="I121" s="1">
        <v>0</v>
      </c>
      <c r="J121" s="1">
        <v>0</v>
      </c>
      <c r="K121" s="1"/>
      <c r="L121" s="1"/>
      <c r="M121" s="1">
        <v>0</v>
      </c>
      <c r="N121" s="1">
        <f t="shared" si="169"/>
        <v>-59280</v>
      </c>
      <c r="P121" s="1">
        <f t="shared" si="129"/>
        <v>-5389.090909090909</v>
      </c>
      <c r="Q121" s="1">
        <f t="shared" si="130"/>
        <v>5389.090909090909</v>
      </c>
    </row>
    <row r="122" spans="1:17" x14ac:dyDescent="0.3">
      <c r="A122" s="73" t="s">
        <v>88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/>
      <c r="L122" s="1"/>
      <c r="M122" s="1">
        <v>0</v>
      </c>
      <c r="N122" s="1">
        <f t="shared" si="169"/>
        <v>0</v>
      </c>
      <c r="P122" s="1">
        <f t="shared" si="129"/>
        <v>0</v>
      </c>
      <c r="Q122" s="1">
        <f t="shared" si="130"/>
        <v>0</v>
      </c>
    </row>
    <row r="123" spans="1:17" x14ac:dyDescent="0.3">
      <c r="A123" s="73" t="s">
        <v>89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-85</v>
      </c>
      <c r="J123" s="1">
        <v>0</v>
      </c>
      <c r="K123" s="1"/>
      <c r="L123" s="1"/>
      <c r="M123" s="1"/>
      <c r="N123" s="1">
        <f t="shared" si="169"/>
        <v>-85</v>
      </c>
      <c r="P123" s="1">
        <f t="shared" si="129"/>
        <v>-7.7272727272727275</v>
      </c>
      <c r="Q123" s="1">
        <f t="shared" si="130"/>
        <v>7.7272727272727275</v>
      </c>
    </row>
    <row r="124" spans="1:17" x14ac:dyDescent="0.3">
      <c r="A124" s="73" t="s">
        <v>90</v>
      </c>
      <c r="B124" s="1">
        <v>0</v>
      </c>
      <c r="C124" s="1">
        <v>0</v>
      </c>
      <c r="D124" s="1">
        <v>0</v>
      </c>
      <c r="E124" s="1">
        <v>-58450</v>
      </c>
      <c r="F124" s="1">
        <v>-38855</v>
      </c>
      <c r="G124" s="1">
        <v>-113930</v>
      </c>
      <c r="H124" s="1">
        <v>0</v>
      </c>
      <c r="I124" s="1">
        <v>0</v>
      </c>
      <c r="J124" s="1">
        <v>-2460</v>
      </c>
      <c r="K124" s="1"/>
      <c r="L124" s="1">
        <v>-100000</v>
      </c>
      <c r="M124" s="1">
        <v>-5800</v>
      </c>
      <c r="N124" s="1">
        <f t="shared" si="169"/>
        <v>-319495</v>
      </c>
      <c r="P124" s="1">
        <f t="shared" si="129"/>
        <v>-28517.727272727272</v>
      </c>
      <c r="Q124" s="1">
        <f t="shared" si="130"/>
        <v>22717.727272727272</v>
      </c>
    </row>
    <row r="125" spans="1:17" x14ac:dyDescent="0.3">
      <c r="A125" s="73" t="s">
        <v>91</v>
      </c>
      <c r="B125" s="1">
        <v>0</v>
      </c>
      <c r="C125" s="1">
        <v>0</v>
      </c>
      <c r="D125" s="1">
        <v>0</v>
      </c>
      <c r="E125" s="1">
        <v>279000</v>
      </c>
      <c r="F125" s="1">
        <v>0</v>
      </c>
      <c r="G125" s="1">
        <v>1845</v>
      </c>
      <c r="H125" s="1">
        <v>1346.78</v>
      </c>
      <c r="I125" s="1">
        <v>132.93</v>
      </c>
      <c r="J125" s="1">
        <v>3076.12</v>
      </c>
      <c r="K125" s="1">
        <v>336</v>
      </c>
      <c r="L125" s="1">
        <v>2943.62</v>
      </c>
      <c r="M125" s="1">
        <v>586.33000000000004</v>
      </c>
      <c r="N125" s="1">
        <f t="shared" si="169"/>
        <v>289266.78000000003</v>
      </c>
      <c r="P125" s="1"/>
      <c r="Q125" s="1"/>
    </row>
    <row r="126" spans="1:17" s="93" customFormat="1" x14ac:dyDescent="0.3">
      <c r="A126" t="s">
        <v>451</v>
      </c>
      <c r="B126" s="1">
        <v>0</v>
      </c>
      <c r="C126" s="1">
        <v>0</v>
      </c>
      <c r="D126" s="1">
        <v>0</v>
      </c>
      <c r="E126" s="92">
        <v>0</v>
      </c>
      <c r="F126" s="1">
        <v>0</v>
      </c>
      <c r="G126" s="1">
        <v>0</v>
      </c>
      <c r="H126" s="1">
        <v>0</v>
      </c>
      <c r="I126" s="1">
        <v>3720</v>
      </c>
      <c r="J126" s="1">
        <v>3720</v>
      </c>
      <c r="K126" s="1"/>
      <c r="L126" s="1">
        <v>0</v>
      </c>
      <c r="M126" s="1">
        <v>4960</v>
      </c>
      <c r="N126" s="1">
        <f t="shared" si="169"/>
        <v>12400</v>
      </c>
      <c r="O126" s="1"/>
      <c r="P126" s="1"/>
    </row>
    <row r="127" spans="1:17" x14ac:dyDescent="0.3">
      <c r="A127" s="73" t="s">
        <v>92</v>
      </c>
      <c r="B127" s="1">
        <v>0</v>
      </c>
      <c r="C127" s="1">
        <v>0</v>
      </c>
      <c r="D127" s="1">
        <v>0</v>
      </c>
      <c r="E127" s="1">
        <v>13312.5</v>
      </c>
      <c r="F127" s="1">
        <v>0</v>
      </c>
      <c r="G127" s="1">
        <v>0</v>
      </c>
      <c r="H127" s="1">
        <v>160130</v>
      </c>
      <c r="I127" s="1">
        <v>231818.9</v>
      </c>
      <c r="J127" s="1">
        <v>2021243.69</v>
      </c>
      <c r="K127" s="1">
        <v>1627165.6</v>
      </c>
      <c r="L127" s="1">
        <v>3275736.56</v>
      </c>
      <c r="M127" s="1">
        <v>3028544.53</v>
      </c>
      <c r="N127" s="1">
        <f t="shared" si="169"/>
        <v>10357951.779999999</v>
      </c>
      <c r="P127" s="1"/>
      <c r="Q127" s="1"/>
    </row>
    <row r="128" spans="1:17" s="93" customFormat="1" x14ac:dyDescent="0.3">
      <c r="A128" t="s">
        <v>452</v>
      </c>
      <c r="B128" s="1">
        <v>0</v>
      </c>
      <c r="C128" s="1">
        <v>0</v>
      </c>
      <c r="D128" s="1">
        <v>0</v>
      </c>
      <c r="E128" s="92">
        <v>0</v>
      </c>
      <c r="F128" s="1">
        <v>0</v>
      </c>
      <c r="G128" s="1">
        <v>0</v>
      </c>
      <c r="H128" s="1">
        <v>0</v>
      </c>
      <c r="I128" s="1">
        <v>-96720</v>
      </c>
      <c r="J128" s="1">
        <v>0</v>
      </c>
      <c r="K128" s="1">
        <v>-17990</v>
      </c>
      <c r="L128" s="1">
        <v>-145050</v>
      </c>
      <c r="M128" s="1">
        <v>0</v>
      </c>
      <c r="N128" s="1">
        <f t="shared" si="169"/>
        <v>-259760</v>
      </c>
      <c r="O128" s="1"/>
      <c r="P128" s="1"/>
    </row>
    <row r="129" spans="1:17" s="28" customFormat="1" ht="15" thickBot="1" x14ac:dyDescent="0.35">
      <c r="A129" s="80" t="s">
        <v>93</v>
      </c>
      <c r="B129" s="29">
        <f>SUM(B106:B127)</f>
        <v>585390331.26999998</v>
      </c>
      <c r="C129" s="29">
        <f t="shared" ref="C129:F129" si="170">SUM(C106:C127)</f>
        <v>1326689266.1400003</v>
      </c>
      <c r="D129" s="29">
        <f t="shared" si="170"/>
        <v>408656079.10000008</v>
      </c>
      <c r="E129" s="29">
        <f t="shared" si="170"/>
        <v>144970183.93999997</v>
      </c>
      <c r="F129" s="29">
        <f t="shared" si="170"/>
        <v>212486331.58999997</v>
      </c>
      <c r="G129" s="29">
        <f>SUM(G106:G127)</f>
        <v>356304878.60000002</v>
      </c>
      <c r="H129" s="29">
        <f t="shared" ref="H129" si="171">SUM(H106:H127)</f>
        <v>291633650.12999988</v>
      </c>
      <c r="I129" s="29">
        <f t="shared" ref="I129:N129" si="172">SUM(I106:I128)</f>
        <v>454424681.87999988</v>
      </c>
      <c r="J129" s="29">
        <f t="shared" si="172"/>
        <v>336551715.46000004</v>
      </c>
      <c r="K129" s="29">
        <f t="shared" si="172"/>
        <v>150302029.94999993</v>
      </c>
      <c r="L129" s="29">
        <f t="shared" si="172"/>
        <v>225684099.08999997</v>
      </c>
      <c r="M129" s="29">
        <f t="shared" si="172"/>
        <v>193200228.72999996</v>
      </c>
      <c r="N129" s="29">
        <f t="shared" si="172"/>
        <v>4686293475.8800011</v>
      </c>
      <c r="P129" s="29">
        <f t="shared" si="129"/>
        <v>408463022.46818197</v>
      </c>
      <c r="Q129" s="29">
        <f t="shared" si="130"/>
        <v>-215262793.73818201</v>
      </c>
    </row>
    <row r="130" spans="1:17" ht="15" thickTop="1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1">
        <f t="shared" si="129"/>
        <v>0</v>
      </c>
      <c r="Q130" s="1">
        <f t="shared" si="130"/>
        <v>0</v>
      </c>
    </row>
    <row r="131" spans="1:17" x14ac:dyDescent="0.3">
      <c r="A131" s="73" t="s">
        <v>94</v>
      </c>
      <c r="B131" s="1">
        <v>-3595.4</v>
      </c>
      <c r="C131" s="1">
        <v>-2471.31</v>
      </c>
      <c r="D131" s="1">
        <v>-4621.22</v>
      </c>
      <c r="E131" s="1">
        <v>-5799.91</v>
      </c>
      <c r="F131" s="1">
        <v>-1360.64</v>
      </c>
      <c r="G131" s="1">
        <v>-1536.21</v>
      </c>
      <c r="H131" s="1">
        <v>-2242.15</v>
      </c>
      <c r="I131" s="1">
        <v>-4335.7700000000004</v>
      </c>
      <c r="J131" s="1">
        <v>-2948.83</v>
      </c>
      <c r="K131" s="1">
        <v>-5190.07</v>
      </c>
      <c r="L131" s="1">
        <v>1017.16</v>
      </c>
      <c r="M131" s="1">
        <v>6716.08</v>
      </c>
      <c r="N131" s="1">
        <f t="shared" ref="N131:N179" si="173">SUM(B131:M131)</f>
        <v>-26368.269999999997</v>
      </c>
      <c r="P131" s="1">
        <f t="shared" si="129"/>
        <v>-3007.6681818181819</v>
      </c>
      <c r="Q131" s="1">
        <f t="shared" si="130"/>
        <v>9723.7481818181823</v>
      </c>
    </row>
    <row r="132" spans="1:17" x14ac:dyDescent="0.3">
      <c r="A132" s="73" t="s">
        <v>95</v>
      </c>
      <c r="B132" s="1">
        <v>0</v>
      </c>
      <c r="C132" s="1">
        <v>0</v>
      </c>
      <c r="D132" s="1">
        <v>0</v>
      </c>
      <c r="E132" s="1"/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/>
      <c r="L132" s="1"/>
      <c r="M132" s="1"/>
      <c r="N132" s="1">
        <f t="shared" si="173"/>
        <v>0</v>
      </c>
      <c r="P132" s="1">
        <f t="shared" si="129"/>
        <v>0</v>
      </c>
      <c r="Q132" s="1">
        <f t="shared" si="130"/>
        <v>0</v>
      </c>
    </row>
    <row r="133" spans="1:17" x14ac:dyDescent="0.3">
      <c r="A133" s="73" t="s">
        <v>466</v>
      </c>
      <c r="C133" s="1"/>
      <c r="D133" s="1"/>
      <c r="E133" s="1"/>
      <c r="F133" s="1"/>
      <c r="G133" s="1"/>
      <c r="H133" s="1"/>
      <c r="I133" s="1"/>
      <c r="J133" s="1">
        <v>15588272.5</v>
      </c>
      <c r="K133" s="1">
        <v>1472539.23</v>
      </c>
      <c r="L133" s="1">
        <v>250102.1</v>
      </c>
      <c r="M133" s="1">
        <v>1881554.37</v>
      </c>
      <c r="N133" s="1">
        <f t="shared" si="173"/>
        <v>19192468.200000003</v>
      </c>
      <c r="P133" s="1"/>
      <c r="Q133" s="1"/>
    </row>
    <row r="134" spans="1:17" x14ac:dyDescent="0.3">
      <c r="A134" s="73" t="s">
        <v>467</v>
      </c>
      <c r="C134" s="1"/>
      <c r="D134" s="1"/>
      <c r="E134" s="1"/>
      <c r="F134" s="1"/>
      <c r="G134" s="1"/>
      <c r="H134" s="1"/>
      <c r="I134" s="1"/>
      <c r="J134" s="1">
        <v>-6396769.0099999998</v>
      </c>
      <c r="K134" s="1">
        <v>4760717.22</v>
      </c>
      <c r="L134" s="1">
        <v>-2945718.42</v>
      </c>
      <c r="M134" s="1">
        <v>-4676521.18</v>
      </c>
      <c r="N134" s="1">
        <f t="shared" si="173"/>
        <v>-9258291.3900000006</v>
      </c>
      <c r="P134" s="1"/>
      <c r="Q134" s="1"/>
    </row>
    <row r="135" spans="1:17" x14ac:dyDescent="0.3">
      <c r="A135" s="73" t="s">
        <v>468</v>
      </c>
      <c r="C135" s="1"/>
      <c r="D135" s="1"/>
      <c r="E135" s="1"/>
      <c r="F135" s="1"/>
      <c r="G135" s="1"/>
      <c r="H135" s="1"/>
      <c r="I135" s="1"/>
      <c r="J135" s="1">
        <v>-689871.66</v>
      </c>
      <c r="K135" s="1">
        <v>12519.79</v>
      </c>
      <c r="L135" s="1">
        <v>162218.01</v>
      </c>
      <c r="M135" s="1">
        <v>-292745.15000000002</v>
      </c>
      <c r="N135" s="1">
        <f t="shared" si="173"/>
        <v>-807879.01</v>
      </c>
      <c r="P135" s="1"/>
      <c r="Q135" s="1"/>
    </row>
    <row r="136" spans="1:17" x14ac:dyDescent="0.3">
      <c r="A136" s="73" t="s">
        <v>469</v>
      </c>
      <c r="C136" s="1"/>
      <c r="D136" s="1"/>
      <c r="E136" s="1"/>
      <c r="F136" s="1"/>
      <c r="G136" s="1"/>
      <c r="H136" s="1"/>
      <c r="I136" s="1"/>
      <c r="J136" s="1">
        <v>-374194.7</v>
      </c>
      <c r="K136" s="1">
        <v>54321.4</v>
      </c>
      <c r="L136" s="1">
        <v>-8364.91</v>
      </c>
      <c r="M136" s="1">
        <v>131053.75999999999</v>
      </c>
      <c r="N136" s="1">
        <f t="shared" si="173"/>
        <v>-197184.44999999995</v>
      </c>
      <c r="P136" s="1"/>
      <c r="Q136" s="1"/>
    </row>
    <row r="137" spans="1:17" x14ac:dyDescent="0.3">
      <c r="A137" s="73" t="s">
        <v>470</v>
      </c>
      <c r="C137" s="1"/>
      <c r="D137" s="1"/>
      <c r="E137" s="1"/>
      <c r="F137" s="1"/>
      <c r="G137" s="1"/>
      <c r="H137" s="1"/>
      <c r="I137" s="1"/>
      <c r="J137" s="1">
        <v>-38467.15</v>
      </c>
      <c r="K137" s="1">
        <v>-6789.17</v>
      </c>
      <c r="L137" s="1">
        <v>-9793.51</v>
      </c>
      <c r="M137" s="1">
        <v>17799.5</v>
      </c>
      <c r="N137" s="1">
        <f t="shared" si="173"/>
        <v>-37250.33</v>
      </c>
      <c r="P137" s="1"/>
      <c r="Q137" s="1"/>
    </row>
    <row r="138" spans="1:17" x14ac:dyDescent="0.3">
      <c r="A138" s="73" t="s">
        <v>96</v>
      </c>
      <c r="B138" s="1">
        <v>155441266.31</v>
      </c>
      <c r="C138" s="1">
        <v>109044152.26000001</v>
      </c>
      <c r="D138" s="1">
        <v>100539266.20999999</v>
      </c>
      <c r="E138" s="1">
        <v>91915243.909999996</v>
      </c>
      <c r="F138" s="1">
        <v>94245288.590000004</v>
      </c>
      <c r="G138" s="1">
        <v>92942665.650000006</v>
      </c>
      <c r="H138" s="1">
        <v>124203449.56999999</v>
      </c>
      <c r="I138" s="1">
        <v>128282249.83</v>
      </c>
      <c r="J138" s="1">
        <v>93706532.980000004</v>
      </c>
      <c r="K138" s="1">
        <v>82976594.870000005</v>
      </c>
      <c r="L138" s="1">
        <v>78235202.469999999</v>
      </c>
      <c r="M138" s="1">
        <v>57611994.840000004</v>
      </c>
      <c r="N138" s="1">
        <f t="shared" si="173"/>
        <v>1209143907.49</v>
      </c>
      <c r="P138" s="1">
        <f t="shared" si="129"/>
        <v>104684719.33181819</v>
      </c>
      <c r="Q138" s="1">
        <f t="shared" si="130"/>
        <v>-47072724.49181819</v>
      </c>
    </row>
    <row r="139" spans="1:17" x14ac:dyDescent="0.3">
      <c r="A139" s="73" t="s">
        <v>97</v>
      </c>
      <c r="B139" s="1">
        <v>422458884.52999997</v>
      </c>
      <c r="C139" s="1">
        <v>1215702481.6500001</v>
      </c>
      <c r="D139" s="1">
        <v>305866481.80000001</v>
      </c>
      <c r="E139" s="1">
        <v>46984540.060000002</v>
      </c>
      <c r="F139" s="1">
        <v>116527400.42</v>
      </c>
      <c r="G139" s="1">
        <v>262829543.78999999</v>
      </c>
      <c r="H139" s="1">
        <v>170093292.22</v>
      </c>
      <c r="I139" s="1">
        <v>328155648.12</v>
      </c>
      <c r="J139" s="1">
        <v>244306582.47999999</v>
      </c>
      <c r="K139" s="1">
        <v>118310445.38</v>
      </c>
      <c r="L139" s="1">
        <v>141465570.94999999</v>
      </c>
      <c r="M139" s="1">
        <v>124632849.33</v>
      </c>
      <c r="N139" s="1">
        <f t="shared" si="173"/>
        <v>3497333720.7299995</v>
      </c>
      <c r="P139" s="1">
        <f t="shared" si="129"/>
        <v>306609170.12727267</v>
      </c>
      <c r="Q139" s="1">
        <f t="shared" si="130"/>
        <v>-181976320.79727268</v>
      </c>
    </row>
    <row r="140" spans="1:17" x14ac:dyDescent="0.3">
      <c r="A140" s="73" t="s">
        <v>98</v>
      </c>
      <c r="B140" s="1">
        <v>2776246.68</v>
      </c>
      <c r="C140" s="1">
        <v>2484320.38</v>
      </c>
      <c r="D140" s="1">
        <v>617771.9</v>
      </c>
      <c r="E140" s="1">
        <v>1936970.97</v>
      </c>
      <c r="F140" s="1">
        <v>2008716.84</v>
      </c>
      <c r="G140" s="1">
        <v>489895.91</v>
      </c>
      <c r="H140" s="1">
        <v>1072423.6100000001</v>
      </c>
      <c r="I140" s="1">
        <v>1487745.77</v>
      </c>
      <c r="J140" s="1">
        <v>330283.58</v>
      </c>
      <c r="K140" s="1">
        <v>212260.13</v>
      </c>
      <c r="L140" s="1">
        <v>1950809.67</v>
      </c>
      <c r="M140" s="1">
        <v>1166206.8899999999</v>
      </c>
      <c r="N140" s="1">
        <f t="shared" si="173"/>
        <v>16533652.330000002</v>
      </c>
      <c r="P140" s="1">
        <f t="shared" si="129"/>
        <v>1397040.4945454546</v>
      </c>
      <c r="Q140" s="1">
        <f t="shared" si="130"/>
        <v>-230833.60454545473</v>
      </c>
    </row>
    <row r="141" spans="1:17" x14ac:dyDescent="0.3">
      <c r="A141" s="73" t="s">
        <v>99</v>
      </c>
      <c r="B141" s="1">
        <v>3078499.21</v>
      </c>
      <c r="C141" s="1">
        <v>1513901.47</v>
      </c>
      <c r="D141" s="1">
        <v>1441767.82</v>
      </c>
      <c r="E141" s="1">
        <v>2113636.39</v>
      </c>
      <c r="F141" s="1">
        <v>844764.25</v>
      </c>
      <c r="G141" s="1">
        <v>760350.9</v>
      </c>
      <c r="H141" s="1">
        <v>520958.08</v>
      </c>
      <c r="I141" s="1">
        <v>746076.51</v>
      </c>
      <c r="J141" s="1">
        <v>593567</v>
      </c>
      <c r="K141" s="1">
        <v>2796158.3</v>
      </c>
      <c r="L141" s="1">
        <v>1671669.22</v>
      </c>
      <c r="M141" s="1">
        <v>5312269.22</v>
      </c>
      <c r="N141" s="1">
        <f t="shared" si="173"/>
        <v>21393618.370000001</v>
      </c>
      <c r="P141" s="1">
        <f t="shared" si="129"/>
        <v>1461940.831818182</v>
      </c>
      <c r="Q141" s="1">
        <f t="shared" si="130"/>
        <v>3850328.3881818177</v>
      </c>
    </row>
    <row r="142" spans="1:17" x14ac:dyDescent="0.3">
      <c r="A142" s="73" t="s">
        <v>100</v>
      </c>
      <c r="B142" s="1">
        <v>0</v>
      </c>
      <c r="C142" s="1">
        <v>0</v>
      </c>
      <c r="D142" s="1">
        <v>0</v>
      </c>
      <c r="E142" s="1">
        <v>0</v>
      </c>
      <c r="F142" s="1">
        <v>72</v>
      </c>
      <c r="G142" s="1">
        <v>0</v>
      </c>
      <c r="H142" s="1">
        <v>72</v>
      </c>
      <c r="I142" s="1">
        <v>198</v>
      </c>
      <c r="J142" s="1">
        <v>396</v>
      </c>
      <c r="K142" s="1">
        <v>107.2</v>
      </c>
      <c r="L142" s="1">
        <v>630</v>
      </c>
      <c r="M142" s="1">
        <v>9600.9500000000007</v>
      </c>
      <c r="N142" s="1">
        <f t="shared" si="173"/>
        <v>11076.150000000001</v>
      </c>
      <c r="P142" s="1">
        <f t="shared" si="129"/>
        <v>134.10909090909098</v>
      </c>
      <c r="Q142" s="1">
        <f t="shared" si="130"/>
        <v>9466.8409090909099</v>
      </c>
    </row>
    <row r="143" spans="1:17" x14ac:dyDescent="0.3">
      <c r="A143" s="73" t="s">
        <v>101</v>
      </c>
      <c r="B143" s="1">
        <v>47744.73</v>
      </c>
      <c r="C143" s="1">
        <v>40318.61</v>
      </c>
      <c r="D143" s="1">
        <v>53566.29</v>
      </c>
      <c r="E143" s="1">
        <v>-3427.84</v>
      </c>
      <c r="F143" s="1">
        <v>5808.03</v>
      </c>
      <c r="G143" s="1">
        <v>11225.63</v>
      </c>
      <c r="H143" s="1">
        <v>11757.35</v>
      </c>
      <c r="I143" s="1">
        <v>2887.52</v>
      </c>
      <c r="J143" s="1">
        <v>5270.91</v>
      </c>
      <c r="K143" s="1">
        <v>20141.43</v>
      </c>
      <c r="L143" s="1">
        <v>34705.21</v>
      </c>
      <c r="M143" s="1">
        <v>217346.57</v>
      </c>
      <c r="N143" s="1">
        <f t="shared" si="173"/>
        <v>447344.44</v>
      </c>
      <c r="P143" s="1">
        <f t="shared" si="129"/>
        <v>20908.897272727274</v>
      </c>
      <c r="Q143" s="1">
        <f t="shared" si="130"/>
        <v>196437.67272727273</v>
      </c>
    </row>
    <row r="144" spans="1:17" x14ac:dyDescent="0.3">
      <c r="A144" s="73" t="s">
        <v>102</v>
      </c>
      <c r="B144" s="1">
        <v>82580.429999999993</v>
      </c>
      <c r="C144" s="1">
        <v>556415.63</v>
      </c>
      <c r="D144" s="1">
        <v>104546.19</v>
      </c>
      <c r="E144" s="1">
        <v>891459.31</v>
      </c>
      <c r="F144" s="1">
        <v>309417.95</v>
      </c>
      <c r="G144" s="1">
        <v>1066421.99</v>
      </c>
      <c r="H144" s="1">
        <v>438557.16</v>
      </c>
      <c r="I144" s="1">
        <v>839710.44</v>
      </c>
      <c r="J144" s="1">
        <v>439830.71</v>
      </c>
      <c r="K144" s="1">
        <v>651036.23</v>
      </c>
      <c r="L144" s="1">
        <v>611668.13</v>
      </c>
      <c r="M144" s="1">
        <v>370711.13</v>
      </c>
      <c r="N144" s="1">
        <f t="shared" si="173"/>
        <v>6362355.2999999989</v>
      </c>
      <c r="P144" s="1">
        <f t="shared" si="129"/>
        <v>544694.92454545444</v>
      </c>
      <c r="Q144" s="1">
        <f t="shared" si="130"/>
        <v>-173983.79454545444</v>
      </c>
    </row>
    <row r="145" spans="1:17" x14ac:dyDescent="0.3">
      <c r="A145" s="73" t="s">
        <v>103</v>
      </c>
      <c r="B145" s="1">
        <v>162526.82</v>
      </c>
      <c r="C145" s="1">
        <v>186551.2</v>
      </c>
      <c r="D145" s="1">
        <f>120971.26+500</f>
        <v>121471.26</v>
      </c>
      <c r="E145" s="1">
        <v>104538.95</v>
      </c>
      <c r="F145" s="1">
        <f>108837.33+3500</f>
        <v>112337.33</v>
      </c>
      <c r="G145" s="1">
        <v>58522.59</v>
      </c>
      <c r="H145" s="1">
        <v>142640.88</v>
      </c>
      <c r="I145" s="1">
        <v>302010.69</v>
      </c>
      <c r="J145" s="1">
        <v>148375.73000000001</v>
      </c>
      <c r="K145" s="1">
        <v>124519.01</v>
      </c>
      <c r="L145" s="1">
        <v>101255.08</v>
      </c>
      <c r="M145" s="1">
        <v>137249.42000000001</v>
      </c>
      <c r="N145" s="1">
        <f t="shared" si="173"/>
        <v>1701998.96</v>
      </c>
      <c r="P145" s="1">
        <f t="shared" ref="P145:P215" si="174">(N145-M145)/11</f>
        <v>142249.95818181819</v>
      </c>
      <c r="Q145" s="1">
        <f t="shared" ref="Q145:Q215" si="175">M145-P145</f>
        <v>-5000.5381818181777</v>
      </c>
    </row>
    <row r="146" spans="1:17" x14ac:dyDescent="0.3">
      <c r="A146" s="73" t="s">
        <v>104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/>
      <c r="L146" s="1"/>
      <c r="M146" s="1"/>
      <c r="N146" s="1">
        <f t="shared" si="173"/>
        <v>0</v>
      </c>
      <c r="P146" s="1">
        <f t="shared" si="174"/>
        <v>0</v>
      </c>
      <c r="Q146" s="1">
        <f t="shared" si="175"/>
        <v>0</v>
      </c>
    </row>
    <row r="147" spans="1:17" x14ac:dyDescent="0.3">
      <c r="A147" s="73" t="s">
        <v>105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/>
      <c r="L147" s="1"/>
      <c r="M147" s="1"/>
      <c r="N147" s="1">
        <f t="shared" si="173"/>
        <v>0</v>
      </c>
      <c r="P147" s="1">
        <f t="shared" si="174"/>
        <v>0</v>
      </c>
      <c r="Q147" s="1">
        <f t="shared" si="175"/>
        <v>0</v>
      </c>
    </row>
    <row r="148" spans="1:17" x14ac:dyDescent="0.3">
      <c r="A148" s="73" t="s">
        <v>106</v>
      </c>
      <c r="B148" s="1">
        <v>9335.48</v>
      </c>
      <c r="C148" s="1">
        <v>703.97</v>
      </c>
      <c r="D148" s="1">
        <v>6224.3</v>
      </c>
      <c r="E148" s="1">
        <v>4346.05</v>
      </c>
      <c r="F148" s="1">
        <v>1861.52</v>
      </c>
      <c r="G148" s="1">
        <v>2668.53</v>
      </c>
      <c r="H148" s="1">
        <v>8773.1200000000008</v>
      </c>
      <c r="I148" s="1">
        <v>2512.61</v>
      </c>
      <c r="J148" s="1">
        <v>4656.17</v>
      </c>
      <c r="K148" s="1">
        <v>457.09</v>
      </c>
      <c r="L148" s="1">
        <v>230.91</v>
      </c>
      <c r="M148" s="1">
        <v>854.81</v>
      </c>
      <c r="N148" s="1">
        <f t="shared" si="173"/>
        <v>42624.56</v>
      </c>
      <c r="P148" s="1">
        <f t="shared" si="174"/>
        <v>3797.25</v>
      </c>
      <c r="Q148" s="1">
        <f t="shared" si="175"/>
        <v>-2942.44</v>
      </c>
    </row>
    <row r="149" spans="1:17" x14ac:dyDescent="0.3">
      <c r="A149" s="73" t="s">
        <v>107</v>
      </c>
      <c r="B149" s="1">
        <v>0</v>
      </c>
      <c r="C149" s="1">
        <v>1250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/>
      <c r="L149" s="1"/>
      <c r="M149" s="1">
        <v>760.3</v>
      </c>
      <c r="N149" s="1">
        <f t="shared" si="173"/>
        <v>2010.3</v>
      </c>
      <c r="P149" s="1">
        <f t="shared" si="174"/>
        <v>113.63636363636364</v>
      </c>
      <c r="Q149" s="1">
        <f t="shared" si="175"/>
        <v>646.66363636363633</v>
      </c>
    </row>
    <row r="150" spans="1:17" x14ac:dyDescent="0.3">
      <c r="A150" s="73" t="s">
        <v>108</v>
      </c>
      <c r="B150" s="1">
        <v>93164865.799999997</v>
      </c>
      <c r="C150" s="1">
        <v>43694992.5</v>
      </c>
      <c r="D150" s="1">
        <v>49872500</v>
      </c>
      <c r="E150" s="1">
        <v>37423820</v>
      </c>
      <c r="F150" s="1">
        <v>33390470</v>
      </c>
      <c r="G150" s="1">
        <v>18213000</v>
      </c>
      <c r="H150" s="1">
        <v>40236590</v>
      </c>
      <c r="I150" s="1">
        <v>27854150</v>
      </c>
      <c r="J150" s="1">
        <v>13967680</v>
      </c>
      <c r="K150" s="1">
        <v>26154870</v>
      </c>
      <c r="L150" s="1">
        <v>56299240</v>
      </c>
      <c r="M150" s="1">
        <v>5024860</v>
      </c>
      <c r="N150" s="1">
        <f t="shared" si="173"/>
        <v>445297038.30000001</v>
      </c>
      <c r="P150" s="1">
        <f t="shared" si="174"/>
        <v>40024743.481818184</v>
      </c>
      <c r="Q150" s="1">
        <f t="shared" si="175"/>
        <v>-34999883.481818184</v>
      </c>
    </row>
    <row r="151" spans="1:17" x14ac:dyDescent="0.3">
      <c r="A151" s="73" t="s">
        <v>109</v>
      </c>
      <c r="B151" s="1">
        <v>39860269.659999996</v>
      </c>
      <c r="C151" s="1">
        <v>50039912.299999997</v>
      </c>
      <c r="D151" s="1">
        <v>119070965.51000001</v>
      </c>
      <c r="E151" s="1">
        <v>32569174</v>
      </c>
      <c r="F151" s="1">
        <v>104415723.54000001</v>
      </c>
      <c r="G151" s="1">
        <v>53384233</v>
      </c>
      <c r="H151" s="1">
        <v>102371087</v>
      </c>
      <c r="I151" s="1">
        <v>40532974</v>
      </c>
      <c r="J151" s="1">
        <v>73873420</v>
      </c>
      <c r="K151" s="1">
        <v>28642758.5</v>
      </c>
      <c r="L151" s="1">
        <v>128282994</v>
      </c>
      <c r="M151" s="1">
        <v>74304840.25</v>
      </c>
      <c r="N151" s="1">
        <f t="shared" si="173"/>
        <v>847348351.75999999</v>
      </c>
      <c r="P151" s="1">
        <f t="shared" si="174"/>
        <v>70276682.86454545</v>
      </c>
      <c r="Q151" s="1">
        <f t="shared" si="175"/>
        <v>4028157.3854545504</v>
      </c>
    </row>
    <row r="152" spans="1:17" x14ac:dyDescent="0.3">
      <c r="A152" s="73" t="s">
        <v>110</v>
      </c>
      <c r="B152" s="1">
        <v>0</v>
      </c>
      <c r="C152" s="1">
        <v>252635</v>
      </c>
      <c r="D152" s="1">
        <v>333245</v>
      </c>
      <c r="E152" s="1">
        <v>95125</v>
      </c>
      <c r="F152" s="1">
        <v>0</v>
      </c>
      <c r="G152" s="1">
        <v>45375</v>
      </c>
      <c r="H152" s="1">
        <v>0</v>
      </c>
      <c r="I152" s="1">
        <v>0</v>
      </c>
      <c r="J152" s="1">
        <v>0</v>
      </c>
      <c r="K152" s="1">
        <v>-450</v>
      </c>
      <c r="L152" s="1">
        <v>42150</v>
      </c>
      <c r="M152" s="1">
        <v>0</v>
      </c>
      <c r="N152" s="1">
        <f t="shared" si="173"/>
        <v>768080</v>
      </c>
      <c r="P152" s="1">
        <f t="shared" si="174"/>
        <v>69825.454545454544</v>
      </c>
      <c r="Q152" s="1">
        <f t="shared" si="175"/>
        <v>-69825.454545454544</v>
      </c>
    </row>
    <row r="153" spans="1:17" x14ac:dyDescent="0.3">
      <c r="A153" s="102" t="s">
        <v>111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187220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f t="shared" si="173"/>
        <v>187220</v>
      </c>
      <c r="P153" s="1">
        <f t="shared" si="174"/>
        <v>17020</v>
      </c>
      <c r="Q153" s="1">
        <f t="shared" si="175"/>
        <v>-17020</v>
      </c>
    </row>
    <row r="154" spans="1:17" x14ac:dyDescent="0.3">
      <c r="A154" s="73" t="s">
        <v>112</v>
      </c>
      <c r="B154" s="1">
        <v>-250773118.75999999</v>
      </c>
      <c r="C154" s="1">
        <v>-106292010.51000001</v>
      </c>
      <c r="D154" s="1">
        <v>-199926459.47999999</v>
      </c>
      <c r="E154" s="1">
        <v>-102886856.97</v>
      </c>
      <c r="F154" s="1">
        <v>-60969608.149999999</v>
      </c>
      <c r="G154" s="1">
        <v>-168909239.22</v>
      </c>
      <c r="H154" s="1">
        <v>-211950197.00999999</v>
      </c>
      <c r="I154" s="1">
        <v>-284906461.36000001</v>
      </c>
      <c r="J154" s="1">
        <v>-412764522.29000002</v>
      </c>
      <c r="K154" s="1">
        <v>-121881132.84</v>
      </c>
      <c r="L154" s="1">
        <v>-236276556.91999999</v>
      </c>
      <c r="M154" s="1">
        <v>-658083390.33000004</v>
      </c>
      <c r="N154" s="1">
        <f t="shared" si="173"/>
        <v>-2815619553.8399997</v>
      </c>
      <c r="P154" s="1">
        <f t="shared" si="174"/>
        <v>-196139651.22818181</v>
      </c>
      <c r="Q154" s="1">
        <f t="shared" si="175"/>
        <v>-461943739.1018182</v>
      </c>
    </row>
    <row r="155" spans="1:17" x14ac:dyDescent="0.3">
      <c r="A155" s="73" t="s">
        <v>113</v>
      </c>
      <c r="B155" s="1">
        <v>-94616255.870000005</v>
      </c>
      <c r="C155" s="1">
        <v>-43709010</v>
      </c>
      <c r="D155" s="1">
        <v>-50522100</v>
      </c>
      <c r="E155" s="1">
        <v>-37084810</v>
      </c>
      <c r="F155" s="1">
        <v>-33297790</v>
      </c>
      <c r="G155" s="1">
        <v>-17687220</v>
      </c>
      <c r="H155" s="1">
        <v>-39772170</v>
      </c>
      <c r="I155" s="1">
        <v>-27463660</v>
      </c>
      <c r="J155" s="1">
        <v>-13825040</v>
      </c>
      <c r="K155" s="1">
        <v>-26658310</v>
      </c>
      <c r="L155" s="1">
        <v>-56305290</v>
      </c>
      <c r="M155" s="1">
        <v>-4762590</v>
      </c>
      <c r="N155" s="1">
        <f t="shared" si="173"/>
        <v>-445704245.87</v>
      </c>
      <c r="P155" s="1">
        <f t="shared" si="174"/>
        <v>-40085605.079090908</v>
      </c>
      <c r="Q155" s="1">
        <f t="shared" si="175"/>
        <v>35323015.079090908</v>
      </c>
    </row>
    <row r="156" spans="1:17" x14ac:dyDescent="0.3">
      <c r="A156" s="73" t="s">
        <v>114</v>
      </c>
      <c r="B156" s="1">
        <v>-39572318.009999998</v>
      </c>
      <c r="C156" s="1">
        <v>-54501789.609999999</v>
      </c>
      <c r="D156" s="1">
        <v>-119003409.98</v>
      </c>
      <c r="E156" s="1">
        <v>-35983600</v>
      </c>
      <c r="F156" s="1">
        <v>-104443889</v>
      </c>
      <c r="G156" s="1">
        <v>-60159775</v>
      </c>
      <c r="H156" s="1">
        <v>-104982039</v>
      </c>
      <c r="I156" s="1">
        <v>-44639850</v>
      </c>
      <c r="J156" s="1">
        <v>-74748600</v>
      </c>
      <c r="K156" s="1">
        <v>-34621450</v>
      </c>
      <c r="L156" s="1">
        <v>-129360225</v>
      </c>
      <c r="M156" s="1">
        <v>-65600074</v>
      </c>
      <c r="N156" s="1">
        <f t="shared" si="173"/>
        <v>-867617019.60000002</v>
      </c>
      <c r="P156" s="1">
        <f t="shared" si="174"/>
        <v>-72910631.418181822</v>
      </c>
      <c r="Q156" s="1">
        <f t="shared" si="175"/>
        <v>7310557.4181818217</v>
      </c>
    </row>
    <row r="157" spans="1:17" x14ac:dyDescent="0.3">
      <c r="A157" s="73" t="s">
        <v>115</v>
      </c>
      <c r="B157" s="1">
        <v>0</v>
      </c>
      <c r="C157" s="1">
        <v>-248100</v>
      </c>
      <c r="D157" s="1">
        <v>-337135</v>
      </c>
      <c r="E157" s="1">
        <v>-95680</v>
      </c>
      <c r="F157" s="1">
        <v>0</v>
      </c>
      <c r="G157" s="1">
        <v>-43600</v>
      </c>
      <c r="H157" s="1">
        <v>0</v>
      </c>
      <c r="I157" s="1">
        <v>0</v>
      </c>
      <c r="J157" s="1">
        <v>0</v>
      </c>
      <c r="K157" s="1"/>
      <c r="L157" s="1">
        <v>-43830</v>
      </c>
      <c r="M157" s="1">
        <v>0</v>
      </c>
      <c r="N157" s="1">
        <f t="shared" si="173"/>
        <v>-768345</v>
      </c>
      <c r="P157" s="1">
        <f t="shared" si="174"/>
        <v>-69849.545454545456</v>
      </c>
      <c r="Q157" s="1">
        <f t="shared" si="175"/>
        <v>69849.545454545456</v>
      </c>
    </row>
    <row r="158" spans="1:17" x14ac:dyDescent="0.3">
      <c r="A158" s="102" t="s">
        <v>116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-188100</v>
      </c>
      <c r="I158" s="1">
        <v>0</v>
      </c>
      <c r="J158" s="1">
        <v>0</v>
      </c>
      <c r="K158" s="1"/>
      <c r="L158" s="1">
        <v>0</v>
      </c>
      <c r="M158" s="1">
        <v>0</v>
      </c>
      <c r="N158" s="1">
        <f t="shared" si="173"/>
        <v>-188100</v>
      </c>
      <c r="P158" s="1">
        <f t="shared" si="174"/>
        <v>-17100</v>
      </c>
      <c r="Q158" s="1">
        <f t="shared" si="175"/>
        <v>17100</v>
      </c>
    </row>
    <row r="159" spans="1:17" x14ac:dyDescent="0.3">
      <c r="A159" s="73" t="s">
        <v>117</v>
      </c>
      <c r="B159" s="1">
        <v>246469534.72</v>
      </c>
      <c r="C159" s="1">
        <v>106061841.73</v>
      </c>
      <c r="D159" s="1">
        <v>199824413.44</v>
      </c>
      <c r="E159" s="1">
        <v>102901638.84999999</v>
      </c>
      <c r="F159" s="1">
        <v>61067887.670000002</v>
      </c>
      <c r="G159" s="1">
        <v>169335911.84</v>
      </c>
      <c r="H159" s="1">
        <v>212243315.12</v>
      </c>
      <c r="I159" s="1">
        <v>285234425.79000002</v>
      </c>
      <c r="J159" s="1">
        <v>413041926.32999998</v>
      </c>
      <c r="K159" s="1">
        <v>121510314.61</v>
      </c>
      <c r="L159" s="1">
        <v>236012919.81</v>
      </c>
      <c r="M159" s="1">
        <v>656076653.62</v>
      </c>
      <c r="N159" s="1">
        <f t="shared" si="173"/>
        <v>2809780783.5299997</v>
      </c>
      <c r="P159" s="1">
        <f t="shared" si="174"/>
        <v>195791284.53727272</v>
      </c>
      <c r="Q159" s="1">
        <f t="shared" si="175"/>
        <v>460285369.08272731</v>
      </c>
    </row>
    <row r="160" spans="1:17" x14ac:dyDescent="0.3">
      <c r="A160" s="73" t="s">
        <v>118</v>
      </c>
      <c r="B160" s="1">
        <v>57035597.560000002</v>
      </c>
      <c r="C160" s="1">
        <v>15207183.189999999</v>
      </c>
      <c r="D160" s="1">
        <v>56539241.420000002</v>
      </c>
      <c r="E160" s="1">
        <v>530220449.82999998</v>
      </c>
      <c r="F160" s="1">
        <v>504763748.92000002</v>
      </c>
      <c r="G160" s="1">
        <v>868361816.95000005</v>
      </c>
      <c r="H160" s="1">
        <v>303826130.91000003</v>
      </c>
      <c r="I160" s="1">
        <v>310975719.51999998</v>
      </c>
      <c r="J160" s="1">
        <v>122798210.73</v>
      </c>
      <c r="K160" s="1">
        <v>1251003800.6199999</v>
      </c>
      <c r="L160" s="1">
        <v>2039732956.0699999</v>
      </c>
      <c r="M160" s="1">
        <v>1007992414.4400001</v>
      </c>
      <c r="N160" s="1">
        <f t="shared" si="173"/>
        <v>7068457270.1599998</v>
      </c>
      <c r="P160" s="1">
        <f t="shared" si="174"/>
        <v>550951350.51999998</v>
      </c>
      <c r="Q160" s="1">
        <f t="shared" si="175"/>
        <v>457041063.92000008</v>
      </c>
    </row>
    <row r="161" spans="1:17" x14ac:dyDescent="0.3">
      <c r="A161" s="73" t="s">
        <v>119</v>
      </c>
      <c r="B161" s="1">
        <v>598572.09</v>
      </c>
      <c r="C161" s="1">
        <v>1754577.38</v>
      </c>
      <c r="D161" s="1">
        <v>588811.42000000004</v>
      </c>
      <c r="E161" s="1">
        <v>283948.55</v>
      </c>
      <c r="F161" s="1">
        <v>707796.87</v>
      </c>
      <c r="G161" s="1">
        <v>1284752.46</v>
      </c>
      <c r="H161" s="1">
        <v>497824.77</v>
      </c>
      <c r="I161" s="1">
        <v>795083.58</v>
      </c>
      <c r="J161" s="1">
        <v>408056.53</v>
      </c>
      <c r="K161" s="1">
        <v>560986.71</v>
      </c>
      <c r="L161" s="1">
        <v>594157.51</v>
      </c>
      <c r="M161" s="1">
        <v>3123403.79</v>
      </c>
      <c r="N161" s="1">
        <f t="shared" si="173"/>
        <v>11197971.66</v>
      </c>
      <c r="P161" s="1">
        <f t="shared" si="174"/>
        <v>734051.62454545451</v>
      </c>
      <c r="Q161" s="1">
        <f t="shared" si="175"/>
        <v>2389352.1654545455</v>
      </c>
    </row>
    <row r="162" spans="1:17" x14ac:dyDescent="0.3">
      <c r="A162" s="73" t="s">
        <v>120</v>
      </c>
      <c r="B162" s="1">
        <v>223864.49</v>
      </c>
      <c r="C162" s="1">
        <v>0</v>
      </c>
      <c r="D162" s="1">
        <v>6537.06</v>
      </c>
      <c r="E162" s="1">
        <v>918411.8</v>
      </c>
      <c r="F162" s="1">
        <v>48550</v>
      </c>
      <c r="G162" s="1">
        <v>0</v>
      </c>
      <c r="H162" s="1">
        <v>28932.61</v>
      </c>
      <c r="I162" s="1">
        <v>247481.95</v>
      </c>
      <c r="J162" s="1">
        <v>1006564.16</v>
      </c>
      <c r="K162" s="1">
        <v>1706376.64</v>
      </c>
      <c r="L162" s="1">
        <v>344926</v>
      </c>
      <c r="M162" s="1">
        <v>1243974.78</v>
      </c>
      <c r="N162" s="1">
        <f t="shared" si="173"/>
        <v>5775619.4900000002</v>
      </c>
      <c r="P162" s="1">
        <f t="shared" si="174"/>
        <v>411967.70090909093</v>
      </c>
      <c r="Q162" s="1">
        <f t="shared" si="175"/>
        <v>832007.0790909091</v>
      </c>
    </row>
    <row r="163" spans="1:17" x14ac:dyDescent="0.3">
      <c r="A163" s="73" t="s">
        <v>121</v>
      </c>
      <c r="B163" s="1">
        <v>170622.29</v>
      </c>
      <c r="C163" s="1">
        <v>-355074.95</v>
      </c>
      <c r="D163" s="1">
        <v>93202.33</v>
      </c>
      <c r="E163" s="1">
        <v>151429.5</v>
      </c>
      <c r="F163" s="1">
        <v>472954.71</v>
      </c>
      <c r="G163" s="1">
        <v>-437756.06</v>
      </c>
      <c r="H163" s="1">
        <v>118154.22</v>
      </c>
      <c r="I163" s="1">
        <v>-187544.92</v>
      </c>
      <c r="J163" s="1">
        <v>302364.55</v>
      </c>
      <c r="K163" s="1">
        <v>-12638.04</v>
      </c>
      <c r="L163" s="1">
        <v>36948.42</v>
      </c>
      <c r="M163" s="1">
        <v>41838.61</v>
      </c>
      <c r="N163" s="1">
        <f t="shared" si="173"/>
        <v>394500.66</v>
      </c>
      <c r="P163" s="1">
        <f t="shared" si="174"/>
        <v>32060.186363636363</v>
      </c>
      <c r="Q163" s="1">
        <f t="shared" si="175"/>
        <v>9778.4236363636373</v>
      </c>
    </row>
    <row r="164" spans="1:17" x14ac:dyDescent="0.3">
      <c r="A164" s="73" t="s">
        <v>122</v>
      </c>
      <c r="B164" s="1">
        <v>-126361.61</v>
      </c>
      <c r="C164" s="1">
        <v>-158081.74</v>
      </c>
      <c r="D164" s="1">
        <v>-293026.18</v>
      </c>
      <c r="E164" s="1">
        <v>10452.620000000001</v>
      </c>
      <c r="F164" s="1">
        <v>175404.24</v>
      </c>
      <c r="G164" s="1">
        <v>14443.59</v>
      </c>
      <c r="H164" s="1">
        <v>-416683.86</v>
      </c>
      <c r="I164" s="1">
        <v>-13303.72</v>
      </c>
      <c r="J164" s="1">
        <v>102066.31</v>
      </c>
      <c r="K164" s="1">
        <v>-57904306.450000003</v>
      </c>
      <c r="L164" s="1">
        <v>-91416.320000000007</v>
      </c>
      <c r="M164" s="1">
        <v>-935275.77</v>
      </c>
      <c r="N164" s="1">
        <f t="shared" si="173"/>
        <v>-59636088.890000008</v>
      </c>
      <c r="P164" s="1">
        <f t="shared" si="174"/>
        <v>-5336437.5563636366</v>
      </c>
      <c r="Q164" s="1">
        <f t="shared" si="175"/>
        <v>4401161.7863636371</v>
      </c>
    </row>
    <row r="165" spans="1:17" x14ac:dyDescent="0.3">
      <c r="A165" s="73" t="s">
        <v>123</v>
      </c>
      <c r="B165" s="1">
        <v>18221.580000000002</v>
      </c>
      <c r="C165" s="1">
        <v>-143.22</v>
      </c>
      <c r="D165" s="1">
        <v>554.66999999999996</v>
      </c>
      <c r="E165" s="1">
        <v>-4571.0200000000004</v>
      </c>
      <c r="F165" s="1">
        <v>42.88</v>
      </c>
      <c r="G165" s="1">
        <v>-5187.8100000000004</v>
      </c>
      <c r="H165" s="1">
        <v>-12485.88</v>
      </c>
      <c r="I165" s="1">
        <v>-3196.33</v>
      </c>
      <c r="J165" s="1">
        <v>50315.040000000001</v>
      </c>
      <c r="K165" s="1">
        <v>-2189.91</v>
      </c>
      <c r="L165" s="1">
        <v>0</v>
      </c>
      <c r="M165" s="1">
        <v>664.23</v>
      </c>
      <c r="N165" s="1">
        <f t="shared" si="173"/>
        <v>42024.23</v>
      </c>
      <c r="P165" s="1">
        <f t="shared" si="174"/>
        <v>3760</v>
      </c>
      <c r="Q165" s="1">
        <f t="shared" si="175"/>
        <v>-3095.77</v>
      </c>
    </row>
    <row r="166" spans="1:17" x14ac:dyDescent="0.3">
      <c r="A166" s="73" t="s">
        <v>124</v>
      </c>
      <c r="B166" s="1">
        <v>5399.7</v>
      </c>
      <c r="C166" s="1">
        <v>-3149.21</v>
      </c>
      <c r="D166" s="1">
        <v>6568.13</v>
      </c>
      <c r="E166" s="1">
        <v>405.19</v>
      </c>
      <c r="F166" s="1">
        <v>-182869.11</v>
      </c>
      <c r="G166" s="1">
        <v>-387.53</v>
      </c>
      <c r="H166" s="1">
        <v>-158271.75</v>
      </c>
      <c r="I166" s="1">
        <v>0</v>
      </c>
      <c r="J166" s="1">
        <v>-1562</v>
      </c>
      <c r="K166" s="1">
        <v>0</v>
      </c>
      <c r="L166" s="1">
        <v>-225652.85</v>
      </c>
      <c r="M166" s="1">
        <v>-2314.9299999999998</v>
      </c>
      <c r="N166" s="1">
        <f t="shared" si="173"/>
        <v>-561834.36</v>
      </c>
      <c r="P166" s="1">
        <f t="shared" si="174"/>
        <v>-50865.402727272718</v>
      </c>
      <c r="Q166" s="1">
        <f t="shared" si="175"/>
        <v>48550.472727272718</v>
      </c>
    </row>
    <row r="167" spans="1:17" x14ac:dyDescent="0.3">
      <c r="A167" s="73" t="s">
        <v>125</v>
      </c>
      <c r="B167" s="1">
        <v>-57233909.109999999</v>
      </c>
      <c r="C167" s="1">
        <v>-15348255</v>
      </c>
      <c r="D167" s="1">
        <v>-56465326.530000001</v>
      </c>
      <c r="E167" s="1">
        <v>-529777770.38</v>
      </c>
      <c r="F167" s="1">
        <v>-504081581.20999998</v>
      </c>
      <c r="G167" s="1">
        <v>-867014981.53999996</v>
      </c>
      <c r="H167" s="1">
        <v>-299329589.75</v>
      </c>
      <c r="I167" s="1">
        <v>-310814046.86000001</v>
      </c>
      <c r="J167" s="1">
        <v>-122133504.51000001</v>
      </c>
      <c r="K167" s="1">
        <v>-1249266848.22</v>
      </c>
      <c r="L167" s="1">
        <v>-2037846333.24</v>
      </c>
      <c r="M167" s="1">
        <v>-1011004312.12</v>
      </c>
      <c r="N167" s="1">
        <f t="shared" si="173"/>
        <v>-7060316458.4700003</v>
      </c>
      <c r="P167" s="1">
        <f t="shared" si="174"/>
        <v>-549937467.85000002</v>
      </c>
      <c r="Q167" s="1">
        <f t="shared" si="175"/>
        <v>-461066844.26999998</v>
      </c>
    </row>
    <row r="168" spans="1:17" x14ac:dyDescent="0.3">
      <c r="A168" s="73" t="s">
        <v>429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-3537.84</v>
      </c>
      <c r="H168" s="1">
        <v>-1594.95</v>
      </c>
      <c r="I168" s="1">
        <v>1143.75</v>
      </c>
      <c r="J168" s="1">
        <v>182.18</v>
      </c>
      <c r="K168" s="1">
        <v>3603.34</v>
      </c>
      <c r="L168" s="1">
        <v>-888.71</v>
      </c>
      <c r="M168" s="1">
        <v>-9720</v>
      </c>
      <c r="N168" s="1">
        <f t="shared" si="173"/>
        <v>-10812.23</v>
      </c>
      <c r="P168" s="1"/>
      <c r="Q168" s="1"/>
    </row>
    <row r="169" spans="1:17" x14ac:dyDescent="0.3">
      <c r="A169" s="73" t="s">
        <v>126</v>
      </c>
      <c r="B169" s="1">
        <v>-626650</v>
      </c>
      <c r="C169" s="1">
        <v>-1795920</v>
      </c>
      <c r="D169" s="1">
        <v>-616939.36</v>
      </c>
      <c r="E169" s="1">
        <v>-282900</v>
      </c>
      <c r="F169" s="1">
        <v>-694270</v>
      </c>
      <c r="G169" s="1">
        <v>-1256000</v>
      </c>
      <c r="H169" s="1">
        <v>-513970.45</v>
      </c>
      <c r="I169" s="1">
        <v>-801420</v>
      </c>
      <c r="J169" s="1">
        <v>-444817</v>
      </c>
      <c r="K169" s="1">
        <v>-573800</v>
      </c>
      <c r="L169" s="1">
        <v>-598707.5</v>
      </c>
      <c r="M169" s="1">
        <v>-2909207.01</v>
      </c>
      <c r="N169" s="1">
        <f t="shared" si="173"/>
        <v>-11114601.32</v>
      </c>
      <c r="P169" s="1">
        <f t="shared" si="174"/>
        <v>-745944.93727272737</v>
      </c>
      <c r="Q169" s="1">
        <f t="shared" si="175"/>
        <v>-2163262.0727272723</v>
      </c>
    </row>
    <row r="170" spans="1:17" x14ac:dyDescent="0.3">
      <c r="A170" s="73" t="s">
        <v>127</v>
      </c>
      <c r="B170" s="1">
        <v>2230495.09</v>
      </c>
      <c r="C170" s="1">
        <v>157077.15</v>
      </c>
      <c r="D170" s="1">
        <v>273729.07</v>
      </c>
      <c r="E170" s="1">
        <v>307005.37</v>
      </c>
      <c r="F170" s="1">
        <v>-462524.73</v>
      </c>
      <c r="G170" s="1">
        <v>-239021.09</v>
      </c>
      <c r="H170" s="1">
        <v>-273397.37</v>
      </c>
      <c r="I170" s="1">
        <v>-459773.78</v>
      </c>
      <c r="J170" s="1">
        <v>-12461.47</v>
      </c>
      <c r="K170" s="1">
        <v>44458.32</v>
      </c>
      <c r="L170" s="1">
        <v>322491.38</v>
      </c>
      <c r="M170" s="1">
        <v>582402.27</v>
      </c>
      <c r="N170" s="1">
        <f t="shared" si="173"/>
        <v>2470480.21</v>
      </c>
      <c r="P170" s="1">
        <f t="shared" si="174"/>
        <v>171643.4490909091</v>
      </c>
      <c r="Q170" s="1">
        <f t="shared" si="175"/>
        <v>410758.82090909092</v>
      </c>
    </row>
    <row r="171" spans="1:17" x14ac:dyDescent="0.3">
      <c r="A171" s="73" t="s">
        <v>128</v>
      </c>
      <c r="B171" s="1">
        <v>132999.03</v>
      </c>
      <c r="C171" s="1">
        <v>1861.72</v>
      </c>
      <c r="D171" s="1">
        <v>104613.37</v>
      </c>
      <c r="E171" s="1">
        <v>1487036.54</v>
      </c>
      <c r="F171" s="1">
        <v>-195552.97</v>
      </c>
      <c r="G171" s="1">
        <v>-463703.41</v>
      </c>
      <c r="H171" s="1">
        <v>-388902.1</v>
      </c>
      <c r="I171" s="1">
        <v>-516832.24</v>
      </c>
      <c r="J171" s="1">
        <v>-517332.49</v>
      </c>
      <c r="K171" s="1">
        <v>-228957.51</v>
      </c>
      <c r="L171" s="1">
        <v>72.64</v>
      </c>
      <c r="M171" s="1">
        <v>-392210.65</v>
      </c>
      <c r="N171" s="1">
        <f t="shared" si="173"/>
        <v>-976908.06999999972</v>
      </c>
      <c r="P171" s="1">
        <f t="shared" si="174"/>
        <v>-53154.310909090884</v>
      </c>
      <c r="Q171" s="1">
        <f t="shared" si="175"/>
        <v>-339056.33909090911</v>
      </c>
    </row>
    <row r="172" spans="1:17" x14ac:dyDescent="0.3">
      <c r="A172" s="73" t="s">
        <v>129</v>
      </c>
      <c r="B172" s="1">
        <v>48155.93</v>
      </c>
      <c r="C172" s="1">
        <v>51045.58</v>
      </c>
      <c r="D172" s="1">
        <v>0</v>
      </c>
      <c r="E172" s="1">
        <v>12980.84</v>
      </c>
      <c r="F172" s="1">
        <v>75.5</v>
      </c>
      <c r="G172" s="1">
        <v>0</v>
      </c>
      <c r="H172" s="1">
        <v>-13005.34</v>
      </c>
      <c r="I172" s="1">
        <v>20986.639999999999</v>
      </c>
      <c r="J172" s="1">
        <v>20965.86</v>
      </c>
      <c r="K172" s="1">
        <v>25.8</v>
      </c>
      <c r="L172" s="1">
        <v>1200</v>
      </c>
      <c r="M172" s="1">
        <v>34642.01</v>
      </c>
      <c r="N172" s="1">
        <f t="shared" si="173"/>
        <v>177072.82</v>
      </c>
      <c r="P172" s="1">
        <f t="shared" si="174"/>
        <v>12948.255454545455</v>
      </c>
      <c r="Q172" s="1">
        <f t="shared" si="175"/>
        <v>21693.754545454547</v>
      </c>
    </row>
    <row r="173" spans="1:17" x14ac:dyDescent="0.3">
      <c r="A173" s="73" t="s">
        <v>130</v>
      </c>
      <c r="B173" s="1">
        <v>888979.59</v>
      </c>
      <c r="C173" s="1">
        <v>5499.6</v>
      </c>
      <c r="D173" s="1">
        <v>-2025.65</v>
      </c>
      <c r="E173" s="1">
        <v>-2516.61</v>
      </c>
      <c r="F173" s="1">
        <v>174609.93</v>
      </c>
      <c r="G173" s="1">
        <v>-356.02</v>
      </c>
      <c r="H173" s="1">
        <v>108192.24</v>
      </c>
      <c r="I173" s="1">
        <v>23422.84</v>
      </c>
      <c r="J173" s="1">
        <v>40194.65</v>
      </c>
      <c r="K173" s="1">
        <v>21708.07</v>
      </c>
      <c r="L173" s="1">
        <v>230585.81</v>
      </c>
      <c r="M173" s="1">
        <v>39089.47</v>
      </c>
      <c r="N173" s="1">
        <f t="shared" si="173"/>
        <v>1527383.92</v>
      </c>
      <c r="P173" s="1">
        <f t="shared" si="174"/>
        <v>135299.49545454545</v>
      </c>
      <c r="Q173" s="1">
        <f t="shared" si="175"/>
        <v>-96210.025454545452</v>
      </c>
    </row>
    <row r="174" spans="1:17" x14ac:dyDescent="0.3">
      <c r="A174" s="73" t="s">
        <v>131</v>
      </c>
      <c r="B174" s="1">
        <v>-241780</v>
      </c>
      <c r="C174" s="1">
        <v>0</v>
      </c>
      <c r="D174" s="1">
        <v>-42034.45</v>
      </c>
      <c r="E174" s="1">
        <f>-916350</f>
        <v>-916350</v>
      </c>
      <c r="F174" s="1">
        <v>-48550</v>
      </c>
      <c r="G174" s="1">
        <v>0</v>
      </c>
      <c r="H174" s="1">
        <v>-48901.66</v>
      </c>
      <c r="I174" s="1">
        <v>-228900</v>
      </c>
      <c r="J174" s="1">
        <v>-1036340</v>
      </c>
      <c r="K174" s="1">
        <v>-1764374.14</v>
      </c>
      <c r="L174" s="1">
        <v>-344926</v>
      </c>
      <c r="M174" s="1">
        <v>-1433743.6</v>
      </c>
      <c r="N174" s="1">
        <f t="shared" si="173"/>
        <v>-6105899.8499999996</v>
      </c>
      <c r="P174" s="1">
        <f t="shared" si="174"/>
        <v>-424741.47727272729</v>
      </c>
      <c r="Q174" s="1">
        <f t="shared" si="175"/>
        <v>-1009002.1227272728</v>
      </c>
    </row>
    <row r="175" spans="1:17" x14ac:dyDescent="0.3">
      <c r="A175" s="73" t="s">
        <v>132</v>
      </c>
      <c r="B175" s="1">
        <v>0</v>
      </c>
      <c r="C175" s="1">
        <v>800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-6400</v>
      </c>
      <c r="M175" s="1">
        <v>0</v>
      </c>
      <c r="N175" s="1">
        <f t="shared" si="173"/>
        <v>-5600</v>
      </c>
      <c r="P175" s="1">
        <f t="shared" si="174"/>
        <v>-509.09090909090907</v>
      </c>
      <c r="Q175" s="1">
        <f t="shared" si="175"/>
        <v>509.09090909090907</v>
      </c>
    </row>
    <row r="176" spans="1:17" x14ac:dyDescent="0.3">
      <c r="A176" s="73" t="s">
        <v>133</v>
      </c>
      <c r="B176" s="1">
        <v>2682.05</v>
      </c>
      <c r="C176" s="1">
        <v>-1617.38</v>
      </c>
      <c r="D176" s="1">
        <v>5756.07</v>
      </c>
      <c r="E176" s="1">
        <v>9048.32</v>
      </c>
      <c r="F176" s="1">
        <v>11168.19</v>
      </c>
      <c r="G176" s="1">
        <v>3721.59</v>
      </c>
      <c r="H176" s="1">
        <v>6172.25</v>
      </c>
      <c r="I176" s="1">
        <v>7102.98</v>
      </c>
      <c r="J176" s="1">
        <v>7169.65</v>
      </c>
      <c r="K176" s="1">
        <v>9614.02</v>
      </c>
      <c r="L176" s="1">
        <v>6881.28</v>
      </c>
      <c r="M176" s="1">
        <v>8685.4500000000007</v>
      </c>
      <c r="N176" s="1">
        <f t="shared" si="173"/>
        <v>76384.469999999987</v>
      </c>
      <c r="P176" s="1">
        <f t="shared" si="174"/>
        <v>6154.4563636363628</v>
      </c>
      <c r="Q176" s="1">
        <f t="shared" si="175"/>
        <v>2530.993636363638</v>
      </c>
    </row>
    <row r="177" spans="1:17" x14ac:dyDescent="0.3">
      <c r="A177" s="73" t="s">
        <v>134</v>
      </c>
      <c r="B177" s="1">
        <v>5000</v>
      </c>
      <c r="C177" s="1">
        <v>16772.5</v>
      </c>
      <c r="D177" s="1">
        <v>-6772.5</v>
      </c>
      <c r="E177" s="1">
        <v>5000</v>
      </c>
      <c r="F177" s="1">
        <v>5000</v>
      </c>
      <c r="G177" s="1">
        <v>5000</v>
      </c>
      <c r="H177" s="1">
        <v>5000</v>
      </c>
      <c r="I177" s="1">
        <v>5000</v>
      </c>
      <c r="J177" s="1">
        <v>5000</v>
      </c>
      <c r="K177" s="1">
        <v>5000</v>
      </c>
      <c r="L177" s="1">
        <v>5000</v>
      </c>
      <c r="M177" s="1">
        <v>5000</v>
      </c>
      <c r="N177" s="1">
        <f t="shared" si="173"/>
        <v>60000</v>
      </c>
      <c r="P177" s="1">
        <f t="shared" si="174"/>
        <v>5000</v>
      </c>
      <c r="Q177" s="1">
        <f t="shared" si="175"/>
        <v>0</v>
      </c>
    </row>
    <row r="178" spans="1:17" x14ac:dyDescent="0.3">
      <c r="A178" s="73" t="s">
        <v>135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160</v>
      </c>
      <c r="K178" s="1"/>
      <c r="L178" s="1">
        <v>0</v>
      </c>
      <c r="M178" s="1">
        <v>0</v>
      </c>
      <c r="N178" s="1">
        <f t="shared" si="173"/>
        <v>160</v>
      </c>
      <c r="P178" s="1">
        <f t="shared" si="174"/>
        <v>14.545454545454545</v>
      </c>
      <c r="Q178" s="1">
        <f t="shared" si="175"/>
        <v>-14.545454545454545</v>
      </c>
    </row>
    <row r="179" spans="1:17" x14ac:dyDescent="0.3">
      <c r="A179" s="73" t="s">
        <v>136</v>
      </c>
      <c r="B179" s="1">
        <v>20620</v>
      </c>
      <c r="C179" s="1">
        <v>1150</v>
      </c>
      <c r="D179" s="1">
        <v>0</v>
      </c>
      <c r="E179" s="1">
        <v>0</v>
      </c>
      <c r="F179" s="1">
        <v>158944.68</v>
      </c>
      <c r="G179" s="1">
        <v>1357.06</v>
      </c>
      <c r="H179" s="1">
        <v>-3040</v>
      </c>
      <c r="I179" s="1">
        <v>10319.799999999999</v>
      </c>
      <c r="J179" s="1">
        <v>1091.1099999999999</v>
      </c>
      <c r="K179" s="1">
        <v>294.55</v>
      </c>
      <c r="L179" s="1">
        <v>-499.08</v>
      </c>
      <c r="M179" s="1">
        <v>30446.91</v>
      </c>
      <c r="N179" s="1">
        <f t="shared" si="173"/>
        <v>220685.02999999997</v>
      </c>
      <c r="P179" s="1">
        <f t="shared" si="174"/>
        <v>17294.374545454542</v>
      </c>
      <c r="Q179" s="1">
        <f t="shared" si="175"/>
        <v>13152.535454545457</v>
      </c>
    </row>
    <row r="180" spans="1:17" x14ac:dyDescent="0.3">
      <c r="A180" s="73" t="s">
        <v>137</v>
      </c>
      <c r="B180" s="30">
        <v>2910296.13</v>
      </c>
      <c r="C180" s="30">
        <v>1651163.39</v>
      </c>
      <c r="D180" s="30">
        <v>-414097.59</v>
      </c>
      <c r="E180" s="31">
        <v>959937.83</v>
      </c>
      <c r="F180" s="31">
        <v>-3014399.59</v>
      </c>
      <c r="G180" s="30">
        <v>3160990.11</v>
      </c>
      <c r="H180" s="30">
        <v>-6973390.4900000002</v>
      </c>
      <c r="I180" s="30">
        <v>-1655327.37</v>
      </c>
      <c r="J180" s="30">
        <v>-13587496.02</v>
      </c>
      <c r="K180" s="30">
        <v>0</v>
      </c>
      <c r="L180" s="30">
        <v>0</v>
      </c>
      <c r="M180" s="30">
        <v>0</v>
      </c>
      <c r="N180" s="1">
        <f t="shared" ref="N180:N198" si="176">SUM(B180:M180)</f>
        <v>-16962323.600000001</v>
      </c>
      <c r="P180" s="32">
        <f t="shared" si="174"/>
        <v>-1542029.4181818182</v>
      </c>
      <c r="Q180" s="32">
        <f t="shared" si="175"/>
        <v>1542029.4181818182</v>
      </c>
    </row>
    <row r="181" spans="1:17" x14ac:dyDescent="0.3">
      <c r="A181" s="73" t="s">
        <v>138</v>
      </c>
      <c r="B181" s="1">
        <v>28233.33</v>
      </c>
      <c r="C181" s="1">
        <v>28233.33</v>
      </c>
      <c r="D181" s="1">
        <v>28595.83</v>
      </c>
      <c r="E181" s="1">
        <v>28233.33</v>
      </c>
      <c r="F181" s="1">
        <v>28233.33</v>
      </c>
      <c r="G181" s="1">
        <v>7627.91</v>
      </c>
      <c r="H181" s="1">
        <v>28233.33</v>
      </c>
      <c r="I181" s="1">
        <v>28233.33</v>
      </c>
      <c r="J181" s="1">
        <v>28233.33</v>
      </c>
      <c r="K181" s="1">
        <v>28233.33</v>
      </c>
      <c r="L181" s="1">
        <v>24925.040000000001</v>
      </c>
      <c r="M181" s="1">
        <v>24066.46</v>
      </c>
      <c r="N181" s="1">
        <f t="shared" si="176"/>
        <v>311081.88000000006</v>
      </c>
      <c r="P181" s="1">
        <f t="shared" si="174"/>
        <v>26092.310909090913</v>
      </c>
      <c r="Q181" s="1">
        <f t="shared" si="175"/>
        <v>-2025.8509090909138</v>
      </c>
    </row>
    <row r="182" spans="1:17" x14ac:dyDescent="0.3">
      <c r="A182" s="73" t="s">
        <v>139</v>
      </c>
      <c r="B182" s="1">
        <v>0</v>
      </c>
      <c r="C182" s="1">
        <v>878</v>
      </c>
      <c r="D182" s="1">
        <v>0</v>
      </c>
      <c r="E182" s="1">
        <v>0</v>
      </c>
      <c r="F182" s="1">
        <v>620</v>
      </c>
      <c r="G182" s="1">
        <v>0</v>
      </c>
      <c r="H182" s="1">
        <v>12</v>
      </c>
      <c r="I182" s="1">
        <v>0</v>
      </c>
      <c r="J182" s="1">
        <v>0</v>
      </c>
      <c r="K182" s="1">
        <v>0</v>
      </c>
      <c r="L182" s="1">
        <v>0</v>
      </c>
      <c r="M182" s="1">
        <v>303.94</v>
      </c>
      <c r="N182" s="1">
        <f t="shared" si="176"/>
        <v>1813.94</v>
      </c>
      <c r="P182" s="1">
        <f t="shared" si="174"/>
        <v>137.27272727272728</v>
      </c>
      <c r="Q182" s="1">
        <f t="shared" si="175"/>
        <v>166.66727272727272</v>
      </c>
    </row>
    <row r="183" spans="1:17" x14ac:dyDescent="0.3">
      <c r="A183" s="73" t="s">
        <v>140</v>
      </c>
      <c r="B183" s="1">
        <v>935.34</v>
      </c>
      <c r="C183" s="1">
        <v>6097.82</v>
      </c>
      <c r="D183" s="1">
        <v>0</v>
      </c>
      <c r="E183" s="1">
        <v>924</v>
      </c>
      <c r="F183" s="1">
        <v>0</v>
      </c>
      <c r="G183" s="1">
        <v>0</v>
      </c>
      <c r="H183" s="1">
        <v>0</v>
      </c>
      <c r="I183" s="1">
        <v>6764.11</v>
      </c>
      <c r="J183" s="1">
        <v>0</v>
      </c>
      <c r="K183" s="1">
        <v>6256.21</v>
      </c>
      <c r="L183" s="1">
        <v>0</v>
      </c>
      <c r="M183" s="1">
        <v>0</v>
      </c>
      <c r="N183" s="1">
        <f t="shared" si="176"/>
        <v>20977.48</v>
      </c>
      <c r="P183" s="1">
        <f t="shared" si="174"/>
        <v>1907.0436363636363</v>
      </c>
      <c r="Q183" s="1">
        <f t="shared" si="175"/>
        <v>-1907.0436363636363</v>
      </c>
    </row>
    <row r="184" spans="1:17" x14ac:dyDescent="0.3">
      <c r="A184" s="73" t="s">
        <v>141</v>
      </c>
      <c r="B184" s="1">
        <v>13984.01</v>
      </c>
      <c r="C184" s="1">
        <v>16090.71</v>
      </c>
      <c r="D184" s="1">
        <v>17832.23</v>
      </c>
      <c r="E184" s="1">
        <v>16363.64</v>
      </c>
      <c r="F184" s="1">
        <v>18902.009999999998</v>
      </c>
      <c r="G184" s="1">
        <v>15846.75</v>
      </c>
      <c r="H184" s="1">
        <v>13522.84</v>
      </c>
      <c r="I184" s="1">
        <v>14007.24</v>
      </c>
      <c r="J184" s="1">
        <v>8848.61</v>
      </c>
      <c r="K184" s="1">
        <v>22497</v>
      </c>
      <c r="L184" s="1">
        <v>14362.47</v>
      </c>
      <c r="M184" s="1">
        <v>8554.26</v>
      </c>
      <c r="N184" s="1">
        <f t="shared" si="176"/>
        <v>180811.77</v>
      </c>
      <c r="P184" s="1">
        <f t="shared" si="174"/>
        <v>15659.773636363634</v>
      </c>
      <c r="Q184" s="1">
        <f t="shared" si="175"/>
        <v>-7105.5136363636339</v>
      </c>
    </row>
    <row r="185" spans="1:17" x14ac:dyDescent="0.3">
      <c r="A185" s="73" t="s">
        <v>142</v>
      </c>
      <c r="B185" s="1">
        <v>0</v>
      </c>
      <c r="C185" s="1">
        <v>2779.92</v>
      </c>
      <c r="D185" s="1">
        <v>3901.48</v>
      </c>
      <c r="E185" s="1">
        <v>3738.32</v>
      </c>
      <c r="F185" s="1">
        <v>2514.86</v>
      </c>
      <c r="G185" s="1">
        <v>3378.54</v>
      </c>
      <c r="H185" s="1">
        <v>1013.2</v>
      </c>
      <c r="I185" s="1">
        <v>2380.56</v>
      </c>
      <c r="J185" s="1">
        <v>1769.04</v>
      </c>
      <c r="K185" s="1">
        <v>5497</v>
      </c>
      <c r="L185" s="1">
        <v>5210.08</v>
      </c>
      <c r="M185" s="1">
        <v>4461.68</v>
      </c>
      <c r="N185" s="1">
        <f t="shared" si="176"/>
        <v>36644.68</v>
      </c>
      <c r="P185" s="1">
        <f t="shared" si="174"/>
        <v>2925.7272727272725</v>
      </c>
      <c r="Q185" s="1">
        <f t="shared" si="175"/>
        <v>1535.9527272727278</v>
      </c>
    </row>
    <row r="186" spans="1:17" x14ac:dyDescent="0.3">
      <c r="A186" s="73" t="s">
        <v>143</v>
      </c>
      <c r="B186" s="1">
        <v>0</v>
      </c>
      <c r="C186" s="1">
        <v>0</v>
      </c>
      <c r="D186" s="1">
        <v>0</v>
      </c>
      <c r="E186" s="1">
        <v>0</v>
      </c>
      <c r="F186" s="1">
        <v>-72</v>
      </c>
      <c r="G186" s="1">
        <v>0</v>
      </c>
      <c r="H186" s="1">
        <v>-72</v>
      </c>
      <c r="I186" s="1">
        <v>-198</v>
      </c>
      <c r="J186" s="1">
        <v>-309.95999999999998</v>
      </c>
      <c r="K186" s="1">
        <v>-250</v>
      </c>
      <c r="L186" s="1">
        <v>-1122</v>
      </c>
      <c r="M186" s="1">
        <v>-180</v>
      </c>
      <c r="N186" s="1">
        <f t="shared" si="176"/>
        <v>-2203.96</v>
      </c>
      <c r="P186" s="1">
        <f t="shared" si="174"/>
        <v>-183.99636363636364</v>
      </c>
      <c r="Q186" s="1">
        <f t="shared" si="175"/>
        <v>3.9963636363636397</v>
      </c>
    </row>
    <row r="187" spans="1:17" x14ac:dyDescent="0.3">
      <c r="A187" s="73" t="s">
        <v>144</v>
      </c>
      <c r="B187" s="1">
        <v>1.87</v>
      </c>
      <c r="C187" s="1">
        <v>0</v>
      </c>
      <c r="D187" s="1">
        <v>-115.12</v>
      </c>
      <c r="E187" s="1">
        <v>3216.06</v>
      </c>
      <c r="F187" s="1">
        <v>-2308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0.4</v>
      </c>
      <c r="M187" s="1">
        <v>0</v>
      </c>
      <c r="N187" s="1">
        <f t="shared" si="176"/>
        <v>795.20999999999992</v>
      </c>
      <c r="P187" s="1">
        <f t="shared" si="174"/>
        <v>72.291818181818172</v>
      </c>
      <c r="Q187" s="1">
        <f t="shared" si="175"/>
        <v>-72.291818181818172</v>
      </c>
    </row>
    <row r="188" spans="1:17" x14ac:dyDescent="0.3">
      <c r="A188" s="73" t="s">
        <v>145</v>
      </c>
      <c r="B188" s="1">
        <v>655.42</v>
      </c>
      <c r="C188" s="1">
        <v>-345.3</v>
      </c>
      <c r="D188" s="1">
        <v>-1325.46</v>
      </c>
      <c r="E188" s="1">
        <v>-3163.28</v>
      </c>
      <c r="F188" s="1">
        <v>-3813.42</v>
      </c>
      <c r="G188" s="1">
        <v>-5151.74</v>
      </c>
      <c r="H188" s="1">
        <v>-2238.48</v>
      </c>
      <c r="I188" s="1">
        <v>-4687.5200000000004</v>
      </c>
      <c r="J188" s="1">
        <v>-3915.61</v>
      </c>
      <c r="K188" s="1">
        <v>-4595.1400000000003</v>
      </c>
      <c r="L188" s="1">
        <v>-200.15</v>
      </c>
      <c r="M188" s="1">
        <v>-3129.39</v>
      </c>
      <c r="N188" s="1">
        <f t="shared" si="176"/>
        <v>-31910.07</v>
      </c>
      <c r="P188" s="1">
        <f t="shared" si="174"/>
        <v>-2616.4254545454546</v>
      </c>
      <c r="Q188" s="1">
        <f t="shared" si="175"/>
        <v>-512.96454545454526</v>
      </c>
    </row>
    <row r="189" spans="1:17" ht="15.6" customHeight="1" x14ac:dyDescent="0.3">
      <c r="A189" s="73" t="s">
        <v>146</v>
      </c>
      <c r="B189" s="1">
        <v>-260</v>
      </c>
      <c r="C189" s="1">
        <v>0</v>
      </c>
      <c r="D189" s="1">
        <v>-15</v>
      </c>
      <c r="E189" s="1">
        <f>-15</f>
        <v>-15</v>
      </c>
      <c r="F189" s="1">
        <v>0</v>
      </c>
      <c r="G189" s="1">
        <v>0</v>
      </c>
      <c r="H189" s="1">
        <v>-52.5</v>
      </c>
      <c r="I189" s="1">
        <v>0</v>
      </c>
      <c r="J189" s="1">
        <v>-15</v>
      </c>
      <c r="K189" s="1">
        <v>0</v>
      </c>
      <c r="L189" s="1">
        <v>0</v>
      </c>
      <c r="M189" s="1">
        <v>0</v>
      </c>
      <c r="N189" s="1">
        <f t="shared" si="176"/>
        <v>-357.5</v>
      </c>
      <c r="P189" s="1">
        <f t="shared" si="174"/>
        <v>-32.5</v>
      </c>
      <c r="Q189" s="1">
        <f t="shared" si="175"/>
        <v>32.5</v>
      </c>
    </row>
    <row r="190" spans="1:17" ht="15.6" customHeight="1" x14ac:dyDescent="0.3">
      <c r="A190" s="73" t="s">
        <v>147</v>
      </c>
      <c r="B190" s="1">
        <v>0</v>
      </c>
      <c r="C190" s="1">
        <v>0</v>
      </c>
      <c r="D190" s="1">
        <v>0</v>
      </c>
      <c r="E190" s="1">
        <v>168314.67</v>
      </c>
      <c r="F190" s="1">
        <v>0</v>
      </c>
      <c r="G190" s="1">
        <v>1178.56</v>
      </c>
      <c r="H190" s="1">
        <v>707.78</v>
      </c>
      <c r="I190" s="1">
        <v>73.5</v>
      </c>
      <c r="J190" s="1">
        <v>3004.54</v>
      </c>
      <c r="K190" s="1">
        <v>336</v>
      </c>
      <c r="L190" s="1">
        <v>1452.89</v>
      </c>
      <c r="M190" s="1">
        <v>180.51</v>
      </c>
      <c r="N190" s="1">
        <f t="shared" si="176"/>
        <v>175248.45000000004</v>
      </c>
      <c r="P190" s="1"/>
      <c r="Q190" s="1"/>
    </row>
    <row r="191" spans="1:17" s="93" customFormat="1" ht="15.6" customHeight="1" x14ac:dyDescent="0.3">
      <c r="A191" t="s">
        <v>453</v>
      </c>
      <c r="B191" s="1"/>
      <c r="C191" s="1"/>
      <c r="D191" s="1"/>
      <c r="E191" s="92"/>
      <c r="F191" s="1"/>
      <c r="G191" s="1">
        <v>0</v>
      </c>
      <c r="H191" s="1">
        <v>0</v>
      </c>
      <c r="I191" s="1">
        <v>3682.32</v>
      </c>
      <c r="J191" s="1">
        <v>3682.32</v>
      </c>
      <c r="K191" s="1">
        <v>0</v>
      </c>
      <c r="L191" s="1">
        <v>-3.46</v>
      </c>
      <c r="M191" s="1">
        <v>4909.76</v>
      </c>
      <c r="N191" s="1">
        <f t="shared" si="176"/>
        <v>12270.94</v>
      </c>
      <c r="O191" s="94"/>
      <c r="P191" s="1"/>
      <c r="Q191" s="1"/>
    </row>
    <row r="192" spans="1:17" ht="15.6" customHeight="1" x14ac:dyDescent="0.3">
      <c r="A192" s="73" t="s">
        <v>148</v>
      </c>
      <c r="B192" s="1">
        <v>0</v>
      </c>
      <c r="C192" s="1">
        <v>0</v>
      </c>
      <c r="D192" s="1">
        <v>0</v>
      </c>
      <c r="E192" s="1">
        <v>12675.04</v>
      </c>
      <c r="F192" s="1">
        <v>-0.02</v>
      </c>
      <c r="G192" s="1">
        <v>0</v>
      </c>
      <c r="H192" s="1">
        <v>164595.71</v>
      </c>
      <c r="I192" s="1">
        <v>146739.68</v>
      </c>
      <c r="J192" s="1">
        <v>2220349.09</v>
      </c>
      <c r="K192" s="1">
        <v>1271914.67</v>
      </c>
      <c r="L192" s="1">
        <v>3238726.03</v>
      </c>
      <c r="M192" s="1">
        <v>2984512.66</v>
      </c>
      <c r="N192" s="1">
        <f t="shared" si="176"/>
        <v>10039512.859999999</v>
      </c>
      <c r="P192" s="1"/>
      <c r="Q192" s="1"/>
    </row>
    <row r="193" spans="1:17" ht="15.6" customHeight="1" x14ac:dyDescent="0.3">
      <c r="A193" s="73" t="s">
        <v>447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-4850.6000000000004</v>
      </c>
      <c r="I193" s="1">
        <v>-8842.1</v>
      </c>
      <c r="J193" s="1">
        <v>-211499.92</v>
      </c>
      <c r="K193" s="1">
        <v>324145.44</v>
      </c>
      <c r="L193" s="1">
        <v>-140290.01</v>
      </c>
      <c r="M193" s="1">
        <v>-3866.63</v>
      </c>
      <c r="N193" s="1">
        <f t="shared" si="176"/>
        <v>-45203.820000000029</v>
      </c>
      <c r="P193" s="1"/>
      <c r="Q193" s="1"/>
    </row>
    <row r="194" spans="1:17" s="93" customFormat="1" ht="15.6" customHeight="1" x14ac:dyDescent="0.3">
      <c r="A194" t="s">
        <v>454</v>
      </c>
      <c r="B194" s="1"/>
      <c r="C194" s="1"/>
      <c r="D194" s="1"/>
      <c r="E194" s="92"/>
      <c r="F194" s="1"/>
      <c r="G194" s="1">
        <v>0</v>
      </c>
      <c r="H194" s="1">
        <v>0</v>
      </c>
      <c r="I194" s="1">
        <v>-686.87</v>
      </c>
      <c r="J194" s="1">
        <v>-1890.15</v>
      </c>
      <c r="K194" s="1">
        <v>0</v>
      </c>
      <c r="L194" s="1">
        <v>8135.59</v>
      </c>
      <c r="M194" s="1">
        <v>4008.97</v>
      </c>
      <c r="N194" s="1">
        <f t="shared" si="176"/>
        <v>9567.5399999999991</v>
      </c>
      <c r="O194" s="94"/>
      <c r="P194" s="1"/>
      <c r="Q194" s="1"/>
    </row>
    <row r="195" spans="1:17" ht="15.6" customHeight="1" x14ac:dyDescent="0.3">
      <c r="A195" s="73" t="s">
        <v>427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29.46</v>
      </c>
      <c r="H195" s="1">
        <v>61.84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f t="shared" si="176"/>
        <v>91.300000000000011</v>
      </c>
      <c r="P195" s="1"/>
      <c r="Q195" s="1"/>
    </row>
    <row r="196" spans="1:17" ht="15.6" customHeight="1" x14ac:dyDescent="0.3">
      <c r="A196" s="73" t="s">
        <v>428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100.32</v>
      </c>
      <c r="I196" s="1">
        <v>-1577.17</v>
      </c>
      <c r="J196" s="1">
        <v>81.47</v>
      </c>
      <c r="K196" s="1">
        <v>-732.39</v>
      </c>
      <c r="L196" s="1">
        <v>0</v>
      </c>
      <c r="M196" s="1">
        <v>-382.57</v>
      </c>
      <c r="N196" s="1">
        <f t="shared" si="176"/>
        <v>-2510.34</v>
      </c>
      <c r="P196" s="1"/>
      <c r="Q196" s="1"/>
    </row>
    <row r="197" spans="1:17" ht="15.6" customHeight="1" x14ac:dyDescent="0.3">
      <c r="A197" t="s">
        <v>443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168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f t="shared" si="176"/>
        <v>168</v>
      </c>
      <c r="P197" s="1"/>
      <c r="Q197" s="1"/>
    </row>
    <row r="198" spans="1:17" ht="15.6" customHeight="1" x14ac:dyDescent="0.3">
      <c r="A198" t="s">
        <v>533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-45.83</v>
      </c>
      <c r="M198" s="1">
        <v>150.9</v>
      </c>
      <c r="N198" s="1">
        <f t="shared" si="176"/>
        <v>105.07000000000001</v>
      </c>
      <c r="P198" s="1"/>
      <c r="Q198" s="1"/>
    </row>
    <row r="199" spans="1:17" s="28" customFormat="1" x14ac:dyDescent="0.3">
      <c r="A199" s="80" t="s">
        <v>149</v>
      </c>
      <c r="B199" s="33">
        <f>SUM(B131:B198)</f>
        <v>584692821.1099999</v>
      </c>
      <c r="C199" s="33">
        <f t="shared" ref="C199:F199" si="177">SUM(C131:C196)</f>
        <v>1326064718.7600005</v>
      </c>
      <c r="D199" s="33">
        <f t="shared" si="177"/>
        <v>407886159.28000009</v>
      </c>
      <c r="E199" s="33">
        <f>SUM(E131:E198)</f>
        <v>144492603.92999986</v>
      </c>
      <c r="F199" s="33">
        <f t="shared" si="177"/>
        <v>212099725.4200002</v>
      </c>
      <c r="G199" s="33">
        <f t="shared" ref="G199:L199" si="178">SUM(G131:G198)</f>
        <v>355772504.34000009</v>
      </c>
      <c r="H199" s="33">
        <f t="shared" si="178"/>
        <v>291293762.78999996</v>
      </c>
      <c r="I199" s="33">
        <f t="shared" si="178"/>
        <v>454018087.06999999</v>
      </c>
      <c r="J199" s="33">
        <f t="shared" si="178"/>
        <v>336223545.79000008</v>
      </c>
      <c r="K199" s="33">
        <f t="shared" si="178"/>
        <v>149782494.22999993</v>
      </c>
      <c r="L199" s="33">
        <f t="shared" si="178"/>
        <v>225484150.4199999</v>
      </c>
      <c r="M199" s="33">
        <f>SUM(M131:M198)</f>
        <v>192927368.80999973</v>
      </c>
      <c r="N199" s="33">
        <f>SUM(N131:N198)</f>
        <v>4680737941.9499979</v>
      </c>
      <c r="P199" s="33">
        <f t="shared" si="174"/>
        <v>407982779.37636352</v>
      </c>
      <c r="Q199" s="33">
        <f t="shared" si="175"/>
        <v>-215055410.56636378</v>
      </c>
    </row>
    <row r="200" spans="1:17" s="28" customFormat="1" ht="15" thickBot="1" x14ac:dyDescent="0.35">
      <c r="A200" s="80" t="s">
        <v>150</v>
      </c>
      <c r="B200" s="29">
        <f t="shared" ref="B200:G200" si="179">B129-B199</f>
        <v>697510.16000008583</v>
      </c>
      <c r="C200" s="29">
        <f t="shared" si="179"/>
        <v>624547.37999987602</v>
      </c>
      <c r="D200" s="29">
        <f t="shared" si="179"/>
        <v>769919.81999999285</v>
      </c>
      <c r="E200" s="29">
        <f t="shared" si="179"/>
        <v>477580.01000010967</v>
      </c>
      <c r="F200" s="29">
        <f t="shared" si="179"/>
        <v>386606.16999977827</v>
      </c>
      <c r="G200" s="29">
        <f t="shared" si="179"/>
        <v>532374.25999993086</v>
      </c>
      <c r="H200" s="29">
        <f t="shared" ref="H200" si="180">H129-H199</f>
        <v>339887.33999991417</v>
      </c>
      <c r="I200" s="29">
        <f>I129-I199</f>
        <v>406594.80999988317</v>
      </c>
      <c r="J200" s="29">
        <f>J129-J199</f>
        <v>328169.66999995708</v>
      </c>
      <c r="K200" s="29">
        <f>K129-K199</f>
        <v>519535.71999999881</v>
      </c>
      <c r="L200" s="29">
        <f>L129-L199</f>
        <v>199948.67000007629</v>
      </c>
      <c r="M200" s="29">
        <f>M129-M199</f>
        <v>272859.92000022531</v>
      </c>
      <c r="N200" s="29">
        <f>SUM(B200:M200)</f>
        <v>5555533.9299998283</v>
      </c>
      <c r="P200" s="29">
        <f t="shared" si="174"/>
        <v>480243.09181814571</v>
      </c>
      <c r="Q200" s="29">
        <f t="shared" si="175"/>
        <v>-207383.1718179204</v>
      </c>
    </row>
    <row r="201" spans="1:17" ht="15" thickTop="1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1">
        <f t="shared" si="174"/>
        <v>0</v>
      </c>
      <c r="Q201" s="1">
        <f t="shared" si="175"/>
        <v>0</v>
      </c>
    </row>
    <row r="202" spans="1:17" x14ac:dyDescent="0.3">
      <c r="A202" s="73" t="s">
        <v>151</v>
      </c>
      <c r="B202" s="1">
        <v>321540.08</v>
      </c>
      <c r="C202" s="1">
        <v>265057.82</v>
      </c>
      <c r="D202" s="1">
        <v>284816.11</v>
      </c>
      <c r="E202" s="1">
        <v>286945.63</v>
      </c>
      <c r="F202" s="1">
        <v>338930.51</v>
      </c>
      <c r="G202" s="1">
        <v>336452.67</v>
      </c>
      <c r="H202" s="1">
        <v>332380.34000000003</v>
      </c>
      <c r="I202" s="1">
        <v>332790.09000000003</v>
      </c>
      <c r="J202" s="1">
        <v>-648016.48</v>
      </c>
      <c r="K202" s="1">
        <v>241846.34</v>
      </c>
      <c r="L202" s="1">
        <v>170686.83</v>
      </c>
      <c r="M202" s="1">
        <v>343312.31</v>
      </c>
      <c r="N202" s="1">
        <f t="shared" ref="N202:N213" si="181">SUM(B202:M202)</f>
        <v>2606742.25</v>
      </c>
      <c r="P202" s="1">
        <f t="shared" si="174"/>
        <v>205766.35818181818</v>
      </c>
      <c r="Q202" s="1">
        <f t="shared" si="175"/>
        <v>137545.95181818181</v>
      </c>
    </row>
    <row r="203" spans="1:17" x14ac:dyDescent="0.3">
      <c r="A203" s="73" t="s">
        <v>152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/>
      <c r="L203" s="1">
        <v>0</v>
      </c>
      <c r="M203" s="1">
        <v>286.27999999999997</v>
      </c>
      <c r="N203" s="1">
        <f t="shared" si="181"/>
        <v>286.27999999999997</v>
      </c>
      <c r="P203" s="1">
        <f t="shared" si="174"/>
        <v>0</v>
      </c>
      <c r="Q203" s="1">
        <f t="shared" si="175"/>
        <v>286.27999999999997</v>
      </c>
    </row>
    <row r="204" spans="1:17" x14ac:dyDescent="0.3">
      <c r="A204" s="73" t="s">
        <v>153</v>
      </c>
      <c r="B204" s="1">
        <v>0</v>
      </c>
      <c r="C204" s="1">
        <v>4088</v>
      </c>
      <c r="D204" s="1">
        <v>4088</v>
      </c>
      <c r="E204" s="1">
        <v>4088</v>
      </c>
      <c r="F204" s="1">
        <v>4088</v>
      </c>
      <c r="G204" s="1">
        <v>-2599</v>
      </c>
      <c r="H204" s="1">
        <f>[5]Sheet1!$R$95</f>
        <v>4088</v>
      </c>
      <c r="I204" s="1">
        <v>4088</v>
      </c>
      <c r="J204" s="1">
        <v>4088</v>
      </c>
      <c r="K204" s="1">
        <v>4088</v>
      </c>
      <c r="L204" s="1">
        <v>4088</v>
      </c>
      <c r="M204" s="1">
        <v>4088</v>
      </c>
      <c r="N204" s="1">
        <f t="shared" si="181"/>
        <v>38281</v>
      </c>
      <c r="P204" s="1">
        <f t="shared" si="174"/>
        <v>3108.4545454545455</v>
      </c>
      <c r="Q204" s="1">
        <f t="shared" si="175"/>
        <v>979.5454545454545</v>
      </c>
    </row>
    <row r="205" spans="1:17" x14ac:dyDescent="0.3">
      <c r="A205" s="73" t="s">
        <v>154</v>
      </c>
      <c r="B205" s="1">
        <v>34485.919999999998</v>
      </c>
      <c r="C205" s="1">
        <v>25848.55</v>
      </c>
      <c r="D205" s="1">
        <v>25451.64</v>
      </c>
      <c r="E205" s="1">
        <v>26482.85</v>
      </c>
      <c r="F205" s="1">
        <v>27594.59</v>
      </c>
      <c r="G205" s="1">
        <v>26155.119999999999</v>
      </c>
      <c r="H205" s="1">
        <f>[5]Sheet1!$R$96</f>
        <v>24572.799999999999</v>
      </c>
      <c r="I205" s="1">
        <v>24177.29</v>
      </c>
      <c r="J205" s="1">
        <v>-60236.23</v>
      </c>
      <c r="K205" s="1">
        <v>15408.87</v>
      </c>
      <c r="L205" s="1">
        <v>10816.19</v>
      </c>
      <c r="M205" s="1">
        <v>29012.720000000001</v>
      </c>
      <c r="N205" s="1">
        <f t="shared" si="181"/>
        <v>209770.30999999997</v>
      </c>
      <c r="P205" s="1">
        <f t="shared" si="174"/>
        <v>16432.508181818179</v>
      </c>
      <c r="Q205" s="1">
        <f t="shared" si="175"/>
        <v>12580.211818181822</v>
      </c>
    </row>
    <row r="206" spans="1:17" x14ac:dyDescent="0.3">
      <c r="A206" s="73" t="s">
        <v>155</v>
      </c>
      <c r="B206" s="1">
        <v>34701.300000000003</v>
      </c>
      <c r="C206" s="1">
        <v>29078.31</v>
      </c>
      <c r="D206" s="1">
        <v>14776.7</v>
      </c>
      <c r="E206" s="1">
        <v>22093.19</v>
      </c>
      <c r="F206" s="1">
        <v>36544.94</v>
      </c>
      <c r="G206" s="1">
        <v>29148.65</v>
      </c>
      <c r="H206" s="1">
        <f>[5]Sheet1!$R$97</f>
        <v>26044.41</v>
      </c>
      <c r="I206" s="1">
        <v>23927.88</v>
      </c>
      <c r="J206" s="1">
        <v>-43787.11</v>
      </c>
      <c r="K206" s="1">
        <v>17362.52</v>
      </c>
      <c r="L206" s="1">
        <v>16364.54</v>
      </c>
      <c r="M206" s="1">
        <v>17151.37</v>
      </c>
      <c r="N206" s="1">
        <f t="shared" si="181"/>
        <v>223406.7</v>
      </c>
      <c r="P206" s="1">
        <f t="shared" si="174"/>
        <v>18750.484545454547</v>
      </c>
      <c r="Q206" s="1">
        <f t="shared" si="175"/>
        <v>-1599.1145454545476</v>
      </c>
    </row>
    <row r="207" spans="1:17" x14ac:dyDescent="0.3">
      <c r="A207" s="73" t="s">
        <v>156</v>
      </c>
      <c r="B207" s="1">
        <v>3985.86</v>
      </c>
      <c r="C207" s="1">
        <v>4106.21</v>
      </c>
      <c r="D207" s="1">
        <v>4155.76</v>
      </c>
      <c r="E207" s="1">
        <v>3572.78</v>
      </c>
      <c r="F207" s="1">
        <v>2661.9</v>
      </c>
      <c r="G207" s="1">
        <v>4701.25</v>
      </c>
      <c r="H207" s="1">
        <f>[5]Sheet1!$R$98</f>
        <v>4559.01</v>
      </c>
      <c r="I207" s="1">
        <v>4006.17</v>
      </c>
      <c r="J207" s="1">
        <v>-8718.48</v>
      </c>
      <c r="K207" s="101">
        <v>2920.76</v>
      </c>
      <c r="L207" s="1">
        <v>2800.78</v>
      </c>
      <c r="M207" s="1">
        <v>2788.97</v>
      </c>
      <c r="N207" s="1">
        <f>SUM(B207:M207)</f>
        <v>31540.97</v>
      </c>
      <c r="P207" s="1">
        <f t="shared" si="174"/>
        <v>2613.818181818182</v>
      </c>
      <c r="Q207" s="1">
        <f t="shared" si="175"/>
        <v>175.15181818181782</v>
      </c>
    </row>
    <row r="208" spans="1:17" x14ac:dyDescent="0.3">
      <c r="A208" s="73" t="s">
        <v>157</v>
      </c>
      <c r="B208" s="1">
        <v>9167</v>
      </c>
      <c r="C208" s="1">
        <v>9167</v>
      </c>
      <c r="D208" s="1">
        <v>9167</v>
      </c>
      <c r="E208" s="1">
        <v>9167</v>
      </c>
      <c r="F208" s="1">
        <v>9167</v>
      </c>
      <c r="G208" s="1">
        <v>8600</v>
      </c>
      <c r="H208" s="1">
        <f>[5]Sheet1!$R$99</f>
        <v>8600</v>
      </c>
      <c r="I208" s="1">
        <v>8600</v>
      </c>
      <c r="J208" s="1">
        <v>-19312.41</v>
      </c>
      <c r="K208" s="1">
        <v>5621.19</v>
      </c>
      <c r="L208" s="1">
        <v>5498.79</v>
      </c>
      <c r="M208" s="1">
        <v>14104.35</v>
      </c>
      <c r="N208" s="1">
        <f t="shared" si="181"/>
        <v>77546.92</v>
      </c>
      <c r="P208" s="1">
        <f t="shared" si="174"/>
        <v>5767.5063636363639</v>
      </c>
      <c r="Q208" s="1">
        <f t="shared" si="175"/>
        <v>8336.8436363636356</v>
      </c>
    </row>
    <row r="209" spans="1:17" x14ac:dyDescent="0.3">
      <c r="A209" s="73" t="s">
        <v>158</v>
      </c>
      <c r="B209" s="1">
        <v>116.2</v>
      </c>
      <c r="C209" s="1">
        <v>164.9</v>
      </c>
      <c r="D209" s="1">
        <v>55.05</v>
      </c>
      <c r="E209" s="1">
        <v>59.95</v>
      </c>
      <c r="F209" s="1">
        <v>100</v>
      </c>
      <c r="G209" s="1">
        <v>59.95</v>
      </c>
      <c r="H209" s="1">
        <f>[5]Sheet1!$R$100</f>
        <v>1600</v>
      </c>
      <c r="I209" s="1">
        <v>0</v>
      </c>
      <c r="J209" s="1">
        <v>59.95</v>
      </c>
      <c r="K209" s="1">
        <v>159.94999999999999</v>
      </c>
      <c r="L209" s="1">
        <v>119.9</v>
      </c>
      <c r="M209" s="1">
        <v>0</v>
      </c>
      <c r="N209" s="1">
        <f t="shared" si="181"/>
        <v>2495.85</v>
      </c>
      <c r="P209" s="1">
        <f t="shared" si="174"/>
        <v>226.89545454545453</v>
      </c>
      <c r="Q209" s="1">
        <f t="shared" si="175"/>
        <v>-226.89545454545453</v>
      </c>
    </row>
    <row r="210" spans="1:17" x14ac:dyDescent="0.3">
      <c r="A210" s="73" t="s">
        <v>159</v>
      </c>
      <c r="B210" s="1">
        <v>1196.75</v>
      </c>
      <c r="C210" s="1">
        <v>1627.2</v>
      </c>
      <c r="D210" s="1">
        <v>1115.29</v>
      </c>
      <c r="E210" s="1">
        <v>1152.68</v>
      </c>
      <c r="F210" s="1">
        <v>1252.42</v>
      </c>
      <c r="G210" s="1">
        <v>1063.43</v>
      </c>
      <c r="H210" s="1">
        <f>[5]Sheet1!$R$101</f>
        <v>1388.91</v>
      </c>
      <c r="I210" s="1">
        <v>1086.9000000000001</v>
      </c>
      <c r="J210" s="1">
        <v>477.46</v>
      </c>
      <c r="K210" s="1">
        <v>1409.54</v>
      </c>
      <c r="L210" s="1">
        <v>2183.6</v>
      </c>
      <c r="M210" s="1">
        <v>848</v>
      </c>
      <c r="N210" s="1">
        <f t="shared" si="181"/>
        <v>14802.179999999998</v>
      </c>
      <c r="P210" s="1">
        <f t="shared" si="174"/>
        <v>1268.5618181818181</v>
      </c>
      <c r="Q210" s="1">
        <f t="shared" si="175"/>
        <v>-420.56181818181813</v>
      </c>
    </row>
    <row r="211" spans="1:17" x14ac:dyDescent="0.3">
      <c r="A211" s="73" t="s">
        <v>160</v>
      </c>
      <c r="B211" s="1">
        <v>0</v>
      </c>
      <c r="C211" s="1">
        <v>2800</v>
      </c>
      <c r="D211" s="1">
        <v>0</v>
      </c>
      <c r="E211" s="1">
        <v>0</v>
      </c>
      <c r="F211" s="1">
        <v>0</v>
      </c>
      <c r="G211" s="1">
        <v>220</v>
      </c>
      <c r="H211" s="1">
        <f>[5]Sheet1!$R$102</f>
        <v>0</v>
      </c>
      <c r="I211" s="1">
        <v>320</v>
      </c>
      <c r="J211" s="1">
        <v>340</v>
      </c>
      <c r="K211" s="1">
        <v>0</v>
      </c>
      <c r="L211" s="1">
        <v>0</v>
      </c>
      <c r="M211" s="1">
        <v>510</v>
      </c>
      <c r="N211" s="1">
        <f t="shared" si="181"/>
        <v>4190</v>
      </c>
      <c r="P211" s="1">
        <f t="shared" si="174"/>
        <v>334.54545454545456</v>
      </c>
      <c r="Q211" s="1">
        <f t="shared" si="175"/>
        <v>175.45454545454544</v>
      </c>
    </row>
    <row r="212" spans="1:17" x14ac:dyDescent="0.3">
      <c r="A212" s="73" t="s">
        <v>161</v>
      </c>
      <c r="B212" s="1">
        <v>0</v>
      </c>
      <c r="C212" s="1">
        <v>0</v>
      </c>
      <c r="D212" s="1">
        <v>0</v>
      </c>
      <c r="E212" s="1">
        <v>309.48</v>
      </c>
      <c r="F212" s="1">
        <v>0</v>
      </c>
      <c r="G212" s="1">
        <v>0</v>
      </c>
      <c r="H212" s="1">
        <f>[5]Sheet1!$R$103</f>
        <v>1732.26</v>
      </c>
      <c r="I212" s="1">
        <v>0</v>
      </c>
      <c r="J212" s="1">
        <v>1020</v>
      </c>
      <c r="K212" s="1">
        <v>0</v>
      </c>
      <c r="L212" s="1">
        <v>0</v>
      </c>
      <c r="M212" s="1"/>
      <c r="N212" s="1">
        <f t="shared" si="181"/>
        <v>3061.74</v>
      </c>
      <c r="P212" s="1">
        <f t="shared" si="174"/>
        <v>278.33999999999997</v>
      </c>
      <c r="Q212" s="1">
        <f t="shared" si="175"/>
        <v>-278.33999999999997</v>
      </c>
    </row>
    <row r="213" spans="1:17" x14ac:dyDescent="0.3">
      <c r="A213" s="130" t="s">
        <v>544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>
        <v>56.95</v>
      </c>
      <c r="N213" s="1">
        <f t="shared" si="181"/>
        <v>56.95</v>
      </c>
      <c r="P213" s="1"/>
      <c r="Q213" s="1"/>
    </row>
    <row r="214" spans="1:17" ht="15" thickBot="1" x14ac:dyDescent="0.35">
      <c r="A214" s="80" t="s">
        <v>162</v>
      </c>
      <c r="B214" s="29">
        <f t="shared" ref="B214:G214" si="182">SUM(B202:B212)</f>
        <v>405193.11</v>
      </c>
      <c r="C214" s="29">
        <f t="shared" si="182"/>
        <v>341937.99000000005</v>
      </c>
      <c r="D214" s="29">
        <f t="shared" si="182"/>
        <v>343625.55</v>
      </c>
      <c r="E214" s="29">
        <f t="shared" si="182"/>
        <v>353871.56</v>
      </c>
      <c r="F214" s="29">
        <f t="shared" si="182"/>
        <v>420339.36000000004</v>
      </c>
      <c r="G214" s="29">
        <f t="shared" si="182"/>
        <v>403802.07</v>
      </c>
      <c r="H214" s="29">
        <f>SUM(H202:H212)</f>
        <v>404965.73</v>
      </c>
      <c r="I214" s="29">
        <f>SUM(I202:I212)</f>
        <v>398996.33</v>
      </c>
      <c r="J214" s="29">
        <f>SUM(J202:J212)</f>
        <v>-774085.3</v>
      </c>
      <c r="K214" s="29">
        <f>SUM(K202:K212)</f>
        <v>288817.17</v>
      </c>
      <c r="L214" s="29">
        <f>SUM(L202:L212)</f>
        <v>212558.63</v>
      </c>
      <c r="M214" s="29">
        <f>SUM(M202:M213)</f>
        <v>412158.95</v>
      </c>
      <c r="N214" s="29">
        <f>SUM(N202:N213)</f>
        <v>3212181.1500000008</v>
      </c>
      <c r="P214" s="29">
        <f t="shared" si="174"/>
        <v>254547.47272727278</v>
      </c>
      <c r="Q214" s="29">
        <f t="shared" si="175"/>
        <v>157611.47727272724</v>
      </c>
    </row>
    <row r="215" spans="1:17" ht="15" thickTop="1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1">
        <f t="shared" si="174"/>
        <v>0</v>
      </c>
      <c r="Q215" s="1">
        <f t="shared" si="175"/>
        <v>0</v>
      </c>
    </row>
    <row r="216" spans="1:17" x14ac:dyDescent="0.3">
      <c r="A216" t="s">
        <v>473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/>
      <c r="I216" s="1"/>
      <c r="J216" s="1">
        <v>12500</v>
      </c>
      <c r="K216" s="1">
        <v>12500</v>
      </c>
      <c r="L216" s="1">
        <v>12500</v>
      </c>
      <c r="M216" s="1">
        <v>12500</v>
      </c>
      <c r="N216" s="1">
        <f t="shared" ref="N216:N237" si="183">SUM(B216:M216)</f>
        <v>50000</v>
      </c>
      <c r="P216" s="1"/>
      <c r="Q216" s="1"/>
    </row>
    <row r="217" spans="1:17" x14ac:dyDescent="0.3">
      <c r="A217" s="73" t="s">
        <v>163</v>
      </c>
      <c r="B217" s="1">
        <v>34200</v>
      </c>
      <c r="C217" s="1">
        <v>34200</v>
      </c>
      <c r="D217" s="1">
        <v>34200</v>
      </c>
      <c r="E217" s="1">
        <v>34200</v>
      </c>
      <c r="F217" s="1">
        <v>34200</v>
      </c>
      <c r="G217" s="1">
        <v>34200</v>
      </c>
      <c r="H217" s="1">
        <v>34200</v>
      </c>
      <c r="I217" s="1">
        <v>34200</v>
      </c>
      <c r="J217" s="1">
        <v>34200</v>
      </c>
      <c r="K217" s="1">
        <v>34200</v>
      </c>
      <c r="L217" s="1">
        <v>34200</v>
      </c>
      <c r="M217" s="1">
        <v>34200</v>
      </c>
      <c r="N217" s="1">
        <f t="shared" si="183"/>
        <v>410400</v>
      </c>
      <c r="P217" s="1">
        <f t="shared" ref="P217:P274" si="184">(N217-M217)/11</f>
        <v>34200</v>
      </c>
      <c r="Q217" s="1">
        <f t="shared" ref="Q217:Q274" si="185">M217-P217</f>
        <v>0</v>
      </c>
    </row>
    <row r="218" spans="1:17" x14ac:dyDescent="0.3">
      <c r="A218" s="73" t="s">
        <v>164</v>
      </c>
      <c r="B218" s="1">
        <v>8503.81</v>
      </c>
      <c r="C218" s="1">
        <v>5315.92</v>
      </c>
      <c r="D218" s="1">
        <v>5721.77</v>
      </c>
      <c r="E218" s="1">
        <v>1979.68</v>
      </c>
      <c r="F218" s="1">
        <v>-5668.03</v>
      </c>
      <c r="G218" s="1">
        <v>-5550.91</v>
      </c>
      <c r="H218" s="1">
        <v>-5623.92</v>
      </c>
      <c r="I218" s="1">
        <v>-2125.3000000000002</v>
      </c>
      <c r="J218" s="1">
        <v>-1659.04</v>
      </c>
      <c r="K218" s="1">
        <v>837.92</v>
      </c>
      <c r="L218" s="1">
        <v>3418.02</v>
      </c>
      <c r="M218" s="1">
        <v>5516.13</v>
      </c>
      <c r="N218" s="1">
        <f t="shared" si="183"/>
        <v>10666.050000000003</v>
      </c>
      <c r="P218" s="1">
        <f t="shared" si="184"/>
        <v>468.17454545454569</v>
      </c>
      <c r="Q218" s="1">
        <f t="shared" si="185"/>
        <v>5047.9554545454548</v>
      </c>
    </row>
    <row r="219" spans="1:17" x14ac:dyDescent="0.3">
      <c r="A219" s="73" t="s">
        <v>165</v>
      </c>
      <c r="B219" s="1">
        <v>812.13</v>
      </c>
      <c r="C219" s="1">
        <v>2889.41</v>
      </c>
      <c r="D219" s="1">
        <v>2880.16</v>
      </c>
      <c r="E219" s="1">
        <v>1338.1</v>
      </c>
      <c r="F219" s="1">
        <v>587.38</v>
      </c>
      <c r="G219" s="1">
        <v>168.44</v>
      </c>
      <c r="H219" s="1">
        <v>38.119999999999997</v>
      </c>
      <c r="I219" s="1">
        <v>39.21</v>
      </c>
      <c r="J219" s="1">
        <v>58.76</v>
      </c>
      <c r="K219" s="1">
        <v>136.21</v>
      </c>
      <c r="L219" s="1">
        <v>622.59</v>
      </c>
      <c r="M219" s="1">
        <v>1019.95</v>
      </c>
      <c r="N219" s="1">
        <f t="shared" si="183"/>
        <v>10590.46</v>
      </c>
      <c r="P219" s="1">
        <f t="shared" si="184"/>
        <v>870.04636363636348</v>
      </c>
      <c r="Q219" s="1">
        <f t="shared" si="185"/>
        <v>149.90363636363656</v>
      </c>
    </row>
    <row r="220" spans="1:17" x14ac:dyDescent="0.3">
      <c r="A220" s="73" t="s">
        <v>166</v>
      </c>
      <c r="B220" s="1">
        <v>0</v>
      </c>
      <c r="C220" s="1">
        <v>0</v>
      </c>
      <c r="D220" s="1">
        <v>0</v>
      </c>
      <c r="E220" s="1">
        <v>0</v>
      </c>
      <c r="F220" s="1">
        <v>579.03</v>
      </c>
      <c r="G220" s="1">
        <v>0</v>
      </c>
      <c r="H220" s="1">
        <v>0</v>
      </c>
      <c r="I220" s="1">
        <v>0</v>
      </c>
      <c r="J220" s="1">
        <v>0</v>
      </c>
      <c r="K220" s="1">
        <v>499.43</v>
      </c>
      <c r="L220" s="1">
        <v>0</v>
      </c>
      <c r="M220" s="1">
        <v>0</v>
      </c>
      <c r="N220" s="1">
        <f t="shared" si="183"/>
        <v>1078.46</v>
      </c>
      <c r="P220" s="1">
        <f t="shared" si="184"/>
        <v>98.041818181818186</v>
      </c>
      <c r="Q220" s="1">
        <f t="shared" si="185"/>
        <v>-98.041818181818186</v>
      </c>
    </row>
    <row r="221" spans="1:17" x14ac:dyDescent="0.3">
      <c r="A221" s="73" t="s">
        <v>471</v>
      </c>
      <c r="C221" s="1"/>
      <c r="D221" s="1"/>
      <c r="E221" s="1"/>
      <c r="F221" s="1"/>
      <c r="G221" s="1"/>
      <c r="H221" s="1"/>
      <c r="I221" s="1"/>
      <c r="J221" s="1">
        <v>178.45</v>
      </c>
      <c r="K221" s="1">
        <v>0</v>
      </c>
      <c r="L221" s="1">
        <v>178.45</v>
      </c>
      <c r="M221" s="1">
        <v>178.45</v>
      </c>
      <c r="N221" s="1">
        <f t="shared" si="183"/>
        <v>535.34999999999991</v>
      </c>
      <c r="P221" s="1"/>
      <c r="Q221" s="1"/>
    </row>
    <row r="222" spans="1:17" x14ac:dyDescent="0.3">
      <c r="A222" t="s">
        <v>446</v>
      </c>
      <c r="B222" s="1">
        <v>6595</v>
      </c>
      <c r="C222" s="1">
        <v>2825</v>
      </c>
      <c r="D222" s="1">
        <v>4805</v>
      </c>
      <c r="E222" s="1">
        <v>0</v>
      </c>
      <c r="F222" s="1">
        <v>0</v>
      </c>
      <c r="G222" s="1">
        <v>0</v>
      </c>
      <c r="H222" s="1">
        <v>5490</v>
      </c>
      <c r="I222" s="1">
        <v>0</v>
      </c>
      <c r="J222" s="1">
        <v>0</v>
      </c>
      <c r="K222" s="1">
        <v>5285</v>
      </c>
      <c r="L222" s="1">
        <v>1710</v>
      </c>
      <c r="M222" s="1">
        <v>280</v>
      </c>
      <c r="N222" s="1">
        <f t="shared" si="183"/>
        <v>26990</v>
      </c>
      <c r="P222" s="1">
        <f t="shared" si="184"/>
        <v>2428.181818181818</v>
      </c>
      <c r="Q222" s="1">
        <f t="shared" si="185"/>
        <v>-2148.181818181818</v>
      </c>
    </row>
    <row r="223" spans="1:17" x14ac:dyDescent="0.3">
      <c r="A223" s="73" t="s">
        <v>167</v>
      </c>
      <c r="B223" s="1">
        <v>11843.29</v>
      </c>
      <c r="C223" s="1">
        <v>5450.87</v>
      </c>
      <c r="D223" s="1">
        <v>12040.98</v>
      </c>
      <c r="E223" s="1">
        <v>8053.61</v>
      </c>
      <c r="F223" s="1">
        <v>16912.45</v>
      </c>
      <c r="G223" s="1">
        <v>6944.38</v>
      </c>
      <c r="H223" s="1">
        <v>13400.41</v>
      </c>
      <c r="I223" s="1">
        <v>5581.37</v>
      </c>
      <c r="J223" s="1">
        <v>8406.82</v>
      </c>
      <c r="K223" s="1">
        <v>18742.099999999999</v>
      </c>
      <c r="L223" s="1">
        <v>3669.36</v>
      </c>
      <c r="M223" s="1">
        <v>17768.87</v>
      </c>
      <c r="N223" s="1">
        <f t="shared" si="183"/>
        <v>128814.51</v>
      </c>
      <c r="P223" s="1">
        <f t="shared" si="184"/>
        <v>10095.058181818182</v>
      </c>
      <c r="Q223" s="1">
        <f t="shared" si="185"/>
        <v>7673.8118181818172</v>
      </c>
    </row>
    <row r="224" spans="1:17" x14ac:dyDescent="0.3">
      <c r="A224" s="73" t="s">
        <v>168</v>
      </c>
      <c r="B224" s="1">
        <v>8676.52</v>
      </c>
      <c r="C224" s="1">
        <v>8676.52</v>
      </c>
      <c r="D224" s="1">
        <v>8676.51</v>
      </c>
      <c r="E224" s="1">
        <v>8676.52</v>
      </c>
      <c r="F224" s="1">
        <v>8676.52</v>
      </c>
      <c r="G224" s="1">
        <v>8676.51</v>
      </c>
      <c r="H224" s="1">
        <v>9179.7000000000007</v>
      </c>
      <c r="I224" s="1">
        <v>9179.7000000000007</v>
      </c>
      <c r="J224" s="1">
        <v>9179.7000000000007</v>
      </c>
      <c r="K224" s="1">
        <v>9179.69</v>
      </c>
      <c r="L224" s="1">
        <v>9179.69</v>
      </c>
      <c r="M224" s="1">
        <v>9179.7000000000007</v>
      </c>
      <c r="N224" s="1">
        <f t="shared" si="183"/>
        <v>107137.28000000001</v>
      </c>
      <c r="P224" s="1">
        <f t="shared" si="184"/>
        <v>8905.2345454545466</v>
      </c>
      <c r="Q224" s="1">
        <f t="shared" si="185"/>
        <v>274.46545454545412</v>
      </c>
    </row>
    <row r="225" spans="1:17" x14ac:dyDescent="0.3">
      <c r="A225" s="73" t="s">
        <v>169</v>
      </c>
      <c r="B225" s="1">
        <v>3100</v>
      </c>
      <c r="C225" s="1">
        <v>3100</v>
      </c>
      <c r="D225" s="1">
        <v>3100</v>
      </c>
      <c r="E225" s="1">
        <v>3100</v>
      </c>
      <c r="F225" s="1">
        <v>3100</v>
      </c>
      <c r="G225" s="1">
        <v>4500</v>
      </c>
      <c r="H225" s="1">
        <v>4366.8900000000003</v>
      </c>
      <c r="I225" s="1">
        <v>4633.1099999999997</v>
      </c>
      <c r="J225" s="1">
        <v>4500</v>
      </c>
      <c r="K225" s="1">
        <v>4500</v>
      </c>
      <c r="L225" s="1">
        <v>1183.93</v>
      </c>
      <c r="M225" s="1">
        <v>-1174.57</v>
      </c>
      <c r="N225" s="1">
        <f t="shared" si="183"/>
        <v>38009.360000000001</v>
      </c>
      <c r="P225" s="1">
        <f t="shared" si="184"/>
        <v>3562.1754545454546</v>
      </c>
      <c r="Q225" s="1">
        <f t="shared" si="185"/>
        <v>-4736.7454545454548</v>
      </c>
    </row>
    <row r="226" spans="1:17" x14ac:dyDescent="0.3">
      <c r="A226" s="73" t="s">
        <v>170</v>
      </c>
      <c r="B226" s="1">
        <v>5157.18</v>
      </c>
      <c r="C226" s="1">
        <v>5157.18</v>
      </c>
      <c r="D226" s="1">
        <v>5023.41</v>
      </c>
      <c r="E226" s="1">
        <v>5123.42</v>
      </c>
      <c r="F226" s="1">
        <v>5023.42</v>
      </c>
      <c r="G226" s="1">
        <v>5023.42</v>
      </c>
      <c r="H226" s="1">
        <v>5023.42</v>
      </c>
      <c r="I226" s="1">
        <v>5023.42</v>
      </c>
      <c r="J226" s="1">
        <v>465.59</v>
      </c>
      <c r="K226" s="1">
        <v>4521.08</v>
      </c>
      <c r="L226" s="1">
        <v>3964.2</v>
      </c>
      <c r="M226" s="1">
        <v>5201.7</v>
      </c>
      <c r="N226" s="1">
        <f t="shared" si="183"/>
        <v>54707.439999999988</v>
      </c>
      <c r="P226" s="1">
        <f t="shared" si="184"/>
        <v>4500.5218181818173</v>
      </c>
      <c r="Q226" s="1">
        <f t="shared" si="185"/>
        <v>701.17818181818257</v>
      </c>
    </row>
    <row r="227" spans="1:17" x14ac:dyDescent="0.3">
      <c r="A227" s="73" t="s">
        <v>171</v>
      </c>
      <c r="B227" s="1">
        <v>781.02</v>
      </c>
      <c r="C227" s="1">
        <v>3798.75</v>
      </c>
      <c r="D227" s="1">
        <v>1347.95</v>
      </c>
      <c r="E227" s="1">
        <v>606.57000000000005</v>
      </c>
      <c r="F227" s="1">
        <v>716.17</v>
      </c>
      <c r="G227" s="1">
        <v>506.25</v>
      </c>
      <c r="H227" s="1">
        <v>0</v>
      </c>
      <c r="I227" s="1">
        <v>118.99</v>
      </c>
      <c r="J227" s="1">
        <v>1217.7</v>
      </c>
      <c r="K227" s="1">
        <v>680.5</v>
      </c>
      <c r="L227" s="1">
        <v>894.23</v>
      </c>
      <c r="M227" s="1">
        <v>650.25</v>
      </c>
      <c r="N227" s="1">
        <f t="shared" si="183"/>
        <v>11318.38</v>
      </c>
      <c r="O227" s="1"/>
      <c r="P227" s="1">
        <f t="shared" si="184"/>
        <v>969.82999999999993</v>
      </c>
      <c r="Q227" s="1">
        <f t="shared" si="185"/>
        <v>-319.57999999999993</v>
      </c>
    </row>
    <row r="228" spans="1:17" x14ac:dyDescent="0.3">
      <c r="A228" s="73" t="s">
        <v>172</v>
      </c>
      <c r="B228" s="1">
        <v>740.6</v>
      </c>
      <c r="C228" s="1">
        <v>321.60000000000002</v>
      </c>
      <c r="D228" s="1">
        <v>321.60000000000002</v>
      </c>
      <c r="E228" s="1">
        <v>419.18</v>
      </c>
      <c r="F228" s="1">
        <v>439.52</v>
      </c>
      <c r="G228" s="1">
        <v>321.60000000000002</v>
      </c>
      <c r="H228" s="1">
        <v>1372.85</v>
      </c>
      <c r="I228" s="1">
        <v>2251.7800000000002</v>
      </c>
      <c r="J228" s="1">
        <v>817.68</v>
      </c>
      <c r="K228" s="1">
        <v>1547.72</v>
      </c>
      <c r="L228" s="1">
        <v>2119.89</v>
      </c>
      <c r="M228" s="1">
        <v>1528.3</v>
      </c>
      <c r="N228" s="1">
        <f t="shared" si="183"/>
        <v>12202.319999999998</v>
      </c>
      <c r="P228" s="1">
        <f t="shared" si="184"/>
        <v>970.36545454545444</v>
      </c>
      <c r="Q228" s="1">
        <f t="shared" si="185"/>
        <v>557.93454545454551</v>
      </c>
    </row>
    <row r="229" spans="1:17" x14ac:dyDescent="0.3">
      <c r="A229" s="73" t="s">
        <v>193</v>
      </c>
      <c r="B229" s="1">
        <v>20798</v>
      </c>
      <c r="C229" s="1">
        <v>19135.740000000002</v>
      </c>
      <c r="D229" s="1">
        <v>17216.87</v>
      </c>
      <c r="E229" s="1">
        <v>10016.870000000001</v>
      </c>
      <c r="F229" s="1">
        <v>10016.870000000001</v>
      </c>
      <c r="G229" s="1">
        <v>10168.870000000001</v>
      </c>
      <c r="H229" s="1">
        <v>10016.870000000001</v>
      </c>
      <c r="I229" s="1">
        <v>10267.049999999999</v>
      </c>
      <c r="J229" s="1">
        <v>-7654.31</v>
      </c>
      <c r="K229" s="1">
        <v>8842.4599999999991</v>
      </c>
      <c r="L229" s="1">
        <v>10051.200000000001</v>
      </c>
      <c r="M229" s="1">
        <v>12044.4</v>
      </c>
      <c r="N229" s="1">
        <f t="shared" si="183"/>
        <v>130920.88999999997</v>
      </c>
      <c r="P229" s="1"/>
      <c r="Q229" s="1"/>
    </row>
    <row r="230" spans="1:17" x14ac:dyDescent="0.3">
      <c r="A230" s="73" t="s">
        <v>173</v>
      </c>
      <c r="B230" s="1">
        <v>333.33</v>
      </c>
      <c r="C230" s="1">
        <v>333.33</v>
      </c>
      <c r="D230" s="1">
        <v>333.33</v>
      </c>
      <c r="E230" s="1">
        <v>333.33</v>
      </c>
      <c r="F230" s="1">
        <v>333.33</v>
      </c>
      <c r="G230" s="1">
        <v>333.33</v>
      </c>
      <c r="H230" s="1">
        <v>333.33</v>
      </c>
      <c r="I230" s="1">
        <v>333.33</v>
      </c>
      <c r="J230" s="1">
        <v>333.33</v>
      </c>
      <c r="K230" s="1">
        <v>333.33</v>
      </c>
      <c r="L230" s="1">
        <v>333.33</v>
      </c>
      <c r="M230" s="1">
        <v>333.33</v>
      </c>
      <c r="N230" s="1">
        <f t="shared" si="183"/>
        <v>3999.9599999999996</v>
      </c>
      <c r="P230" s="1">
        <f t="shared" si="184"/>
        <v>333.33</v>
      </c>
      <c r="Q230" s="1">
        <f t="shared" si="185"/>
        <v>0</v>
      </c>
    </row>
    <row r="231" spans="1:17" x14ac:dyDescent="0.3">
      <c r="A231" s="73" t="s">
        <v>174</v>
      </c>
      <c r="B231" s="1">
        <v>115897.3</v>
      </c>
      <c r="C231" s="1">
        <v>117313.31</v>
      </c>
      <c r="D231" s="1">
        <v>117313.31</v>
      </c>
      <c r="E231" s="1">
        <v>69868.929999999993</v>
      </c>
      <c r="F231" s="1">
        <v>62865.39</v>
      </c>
      <c r="G231" s="1">
        <v>89768.53</v>
      </c>
      <c r="H231" s="1">
        <v>67753.13</v>
      </c>
      <c r="I231" s="1">
        <v>67298.850000000006</v>
      </c>
      <c r="J231" s="1">
        <v>65440.22</v>
      </c>
      <c r="K231" s="1">
        <v>61204.160000000003</v>
      </c>
      <c r="L231" s="1">
        <v>60136.21</v>
      </c>
      <c r="M231" s="1">
        <v>-100002.97</v>
      </c>
      <c r="N231" s="1">
        <f t="shared" si="183"/>
        <v>794856.37</v>
      </c>
      <c r="P231" s="1">
        <f t="shared" si="184"/>
        <v>81350.849090909091</v>
      </c>
      <c r="Q231" s="1">
        <f t="shared" si="185"/>
        <v>-181353.81909090909</v>
      </c>
    </row>
    <row r="232" spans="1:17" x14ac:dyDescent="0.3">
      <c r="A232" s="73" t="s">
        <v>198</v>
      </c>
      <c r="B232" s="1">
        <v>0</v>
      </c>
      <c r="C232" s="1">
        <v>680.88</v>
      </c>
      <c r="D232" s="1">
        <v>4256.26</v>
      </c>
      <c r="E232" s="1">
        <v>998.65</v>
      </c>
      <c r="F232" s="1">
        <v>3059.3</v>
      </c>
      <c r="G232" s="1">
        <v>2520.4299999999998</v>
      </c>
      <c r="H232" s="1">
        <v>3606.37</v>
      </c>
      <c r="I232" s="1">
        <v>7404.71</v>
      </c>
      <c r="J232" s="1">
        <v>4019.71</v>
      </c>
      <c r="K232" s="1">
        <v>1588.42</v>
      </c>
      <c r="L232" s="1">
        <v>1811.56</v>
      </c>
      <c r="M232" s="1">
        <v>1571.49</v>
      </c>
      <c r="N232" s="1">
        <f t="shared" si="183"/>
        <v>31517.78</v>
      </c>
      <c r="P232" s="1"/>
      <c r="Q232" s="1"/>
    </row>
    <row r="233" spans="1:17" x14ac:dyDescent="0.3">
      <c r="A233" s="73" t="s">
        <v>435</v>
      </c>
      <c r="C233" s="1"/>
      <c r="D233" s="1"/>
      <c r="E233" s="1"/>
      <c r="F233" s="1"/>
      <c r="G233" s="1">
        <v>3196.84</v>
      </c>
      <c r="H233" s="1">
        <v>4200.3</v>
      </c>
      <c r="I233" s="1">
        <v>2284</v>
      </c>
      <c r="J233" s="1">
        <v>3424.43</v>
      </c>
      <c r="K233" s="1">
        <v>2283.96</v>
      </c>
      <c r="L233" s="1">
        <v>3109.03</v>
      </c>
      <c r="M233" s="1">
        <v>3653.61</v>
      </c>
      <c r="N233" s="1">
        <f t="shared" si="183"/>
        <v>22152.17</v>
      </c>
      <c r="P233" s="1"/>
      <c r="Q233" s="1"/>
    </row>
    <row r="234" spans="1:17" x14ac:dyDescent="0.3">
      <c r="A234" s="73" t="s">
        <v>175</v>
      </c>
      <c r="B234" s="1">
        <v>0</v>
      </c>
      <c r="C234" s="1">
        <v>0</v>
      </c>
      <c r="D234" s="1">
        <v>0</v>
      </c>
      <c r="E234" s="1">
        <v>1820.4</v>
      </c>
      <c r="F234" s="1">
        <v>0</v>
      </c>
      <c r="G234" s="1">
        <v>5256.73</v>
      </c>
      <c r="H234" s="1">
        <v>3721.9</v>
      </c>
      <c r="I234" s="1">
        <v>1441.3</v>
      </c>
      <c r="J234" s="1">
        <v>1188.0899999999999</v>
      </c>
      <c r="K234" s="1">
        <v>3498.74</v>
      </c>
      <c r="L234" s="1">
        <v>1048.8599999999999</v>
      </c>
      <c r="M234" s="1">
        <v>9052.0499999999993</v>
      </c>
      <c r="N234" s="1">
        <f t="shared" si="183"/>
        <v>27028.069999999996</v>
      </c>
      <c r="P234" s="1">
        <f t="shared" si="184"/>
        <v>1634.183636363636</v>
      </c>
      <c r="Q234" s="1">
        <f t="shared" si="185"/>
        <v>7417.8663636363635</v>
      </c>
    </row>
    <row r="235" spans="1:17" x14ac:dyDescent="0.3">
      <c r="A235" s="73" t="s">
        <v>176</v>
      </c>
      <c r="B235" s="1">
        <v>0</v>
      </c>
      <c r="C235" s="1">
        <v>0</v>
      </c>
      <c r="D235" s="1">
        <v>0</v>
      </c>
      <c r="E235" s="1">
        <v>390</v>
      </c>
      <c r="F235" s="1">
        <v>390</v>
      </c>
      <c r="G235" s="1">
        <v>390</v>
      </c>
      <c r="H235" s="1">
        <v>390</v>
      </c>
      <c r="I235" s="1">
        <v>390</v>
      </c>
      <c r="J235" s="1">
        <v>390</v>
      </c>
      <c r="K235" s="1">
        <v>390</v>
      </c>
      <c r="L235" s="1">
        <v>390</v>
      </c>
      <c r="M235" s="1">
        <v>390</v>
      </c>
      <c r="N235" s="1">
        <f t="shared" si="183"/>
        <v>3510</v>
      </c>
      <c r="P235" s="1">
        <f t="shared" si="184"/>
        <v>283.63636363636363</v>
      </c>
      <c r="Q235" s="1">
        <f t="shared" si="185"/>
        <v>106.36363636363637</v>
      </c>
    </row>
    <row r="236" spans="1:17" x14ac:dyDescent="0.3">
      <c r="A236" s="73" t="s">
        <v>392</v>
      </c>
      <c r="B236" s="1">
        <v>0</v>
      </c>
      <c r="C236" s="1">
        <v>0</v>
      </c>
      <c r="D236" s="1">
        <v>0</v>
      </c>
      <c r="E236" s="1">
        <v>51803</v>
      </c>
      <c r="F236" s="1">
        <v>58244.6</v>
      </c>
      <c r="G236" s="1">
        <v>55745.919999999998</v>
      </c>
      <c r="H236" s="1">
        <v>74963</v>
      </c>
      <c r="I236" s="1">
        <v>57878.13</v>
      </c>
      <c r="J236" s="1">
        <v>58108.23</v>
      </c>
      <c r="K236" s="1">
        <v>58744.17</v>
      </c>
      <c r="L236" s="1">
        <v>58313.18</v>
      </c>
      <c r="M236" s="1">
        <v>217885.28</v>
      </c>
      <c r="N236" s="1">
        <f t="shared" si="183"/>
        <v>691685.51</v>
      </c>
      <c r="P236" s="1"/>
      <c r="Q236" s="1"/>
    </row>
    <row r="237" spans="1:17" x14ac:dyDescent="0.3">
      <c r="A237" s="73" t="s">
        <v>472</v>
      </c>
      <c r="C237" s="1"/>
      <c r="D237" s="1"/>
      <c r="E237" s="1"/>
      <c r="F237" s="1"/>
      <c r="G237" s="1"/>
      <c r="H237" s="1"/>
      <c r="I237" s="1"/>
      <c r="J237" s="1">
        <v>67500</v>
      </c>
      <c r="K237" s="1">
        <v>7500</v>
      </c>
      <c r="L237" s="1">
        <v>7500</v>
      </c>
      <c r="M237" s="1">
        <v>7500</v>
      </c>
      <c r="N237" s="1">
        <f t="shared" si="183"/>
        <v>90000</v>
      </c>
      <c r="P237" s="1"/>
      <c r="Q237" s="1"/>
    </row>
    <row r="238" spans="1:17" ht="15" thickBot="1" x14ac:dyDescent="0.35">
      <c r="A238" s="80" t="s">
        <v>177</v>
      </c>
      <c r="B238" s="29">
        <f t="shared" ref="B238:F238" si="186">SUM(B217:B236)</f>
        <v>217438.18</v>
      </c>
      <c r="C238" s="29">
        <f t="shared" si="186"/>
        <v>209198.51</v>
      </c>
      <c r="D238" s="29">
        <f t="shared" si="186"/>
        <v>217237.15000000002</v>
      </c>
      <c r="E238" s="29">
        <f t="shared" si="186"/>
        <v>198728.25999999998</v>
      </c>
      <c r="F238" s="29">
        <f t="shared" si="186"/>
        <v>199475.94999999998</v>
      </c>
      <c r="G238" s="29">
        <f>SUM(G217:G236)</f>
        <v>222170.33999999997</v>
      </c>
      <c r="H238" s="29">
        <f>SUM(H217:H236)</f>
        <v>232432.36999999997</v>
      </c>
      <c r="I238" s="29">
        <f>SUM(I217:I237)</f>
        <v>206199.65</v>
      </c>
      <c r="J238" s="29">
        <f>SUM(J216:J237)</f>
        <v>262615.36</v>
      </c>
      <c r="K238" s="29">
        <f>SUM(K216:K237)</f>
        <v>237014.89</v>
      </c>
      <c r="L238" s="29">
        <f>SUM(L216:L237)</f>
        <v>216333.72999999995</v>
      </c>
      <c r="M238" s="29">
        <f>SUM(M216:M237)</f>
        <v>239275.96999999997</v>
      </c>
      <c r="N238" s="29">
        <f>SUM(N216:N237)</f>
        <v>2658120.36</v>
      </c>
      <c r="P238" s="29">
        <f t="shared" si="184"/>
        <v>219894.94454545452</v>
      </c>
      <c r="Q238" s="29">
        <f t="shared" si="185"/>
        <v>19381.025454545452</v>
      </c>
    </row>
    <row r="239" spans="1:17" ht="15" thickTop="1" x14ac:dyDescent="0.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P239" s="1">
        <f t="shared" si="184"/>
        <v>0</v>
      </c>
      <c r="Q239" s="1">
        <f t="shared" si="185"/>
        <v>0</v>
      </c>
    </row>
    <row r="240" spans="1:17" x14ac:dyDescent="0.3">
      <c r="A240" s="73" t="s">
        <v>178</v>
      </c>
      <c r="B240" s="1">
        <v>0</v>
      </c>
      <c r="C240" s="1">
        <v>0</v>
      </c>
      <c r="D240" s="1">
        <v>0</v>
      </c>
      <c r="E240" s="1"/>
      <c r="F240" s="1">
        <v>0</v>
      </c>
      <c r="G240" s="1">
        <v>2500</v>
      </c>
      <c r="H240" s="1">
        <v>2000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f t="shared" ref="N240:N269" si="187">SUM(B240:M240)</f>
        <v>4500</v>
      </c>
      <c r="P240" s="1">
        <f t="shared" si="184"/>
        <v>409.09090909090907</v>
      </c>
      <c r="Q240" s="1">
        <f t="shared" si="185"/>
        <v>-409.09090909090907</v>
      </c>
    </row>
    <row r="241" spans="1:17" x14ac:dyDescent="0.3">
      <c r="A241" s="73" t="s">
        <v>179</v>
      </c>
      <c r="B241" s="1">
        <v>5835.67</v>
      </c>
      <c r="C241" s="1">
        <v>5000</v>
      </c>
      <c r="D241" s="1">
        <v>4813.05</v>
      </c>
      <c r="E241" s="1">
        <v>5000</v>
      </c>
      <c r="F241" s="1">
        <v>5000</v>
      </c>
      <c r="G241" s="1">
        <v>5000</v>
      </c>
      <c r="H241" s="1">
        <v>5000</v>
      </c>
      <c r="I241" s="1">
        <v>5000</v>
      </c>
      <c r="J241" s="1">
        <v>-10977.05</v>
      </c>
      <c r="K241" s="1">
        <v>3250</v>
      </c>
      <c r="L241" s="1">
        <v>3250</v>
      </c>
      <c r="M241" s="1">
        <v>1587.3</v>
      </c>
      <c r="N241" s="1">
        <f t="shared" si="187"/>
        <v>37758.97</v>
      </c>
      <c r="P241" s="1">
        <f t="shared" si="184"/>
        <v>3288.3336363636363</v>
      </c>
      <c r="Q241" s="1">
        <f t="shared" si="185"/>
        <v>-1701.0336363636363</v>
      </c>
    </row>
    <row r="242" spans="1:17" x14ac:dyDescent="0.3">
      <c r="A242" s="73" t="s">
        <v>180</v>
      </c>
      <c r="B242" s="1">
        <v>815.83</v>
      </c>
      <c r="C242" s="1">
        <v>1293.81</v>
      </c>
      <c r="D242" s="1">
        <v>863.73</v>
      </c>
      <c r="E242" s="1">
        <v>836.51</v>
      </c>
      <c r="F242" s="1">
        <v>838.95</v>
      </c>
      <c r="G242" s="1">
        <v>838.95</v>
      </c>
      <c r="H242" s="1">
        <v>822.29</v>
      </c>
      <c r="I242" s="1">
        <v>935.47</v>
      </c>
      <c r="J242" s="1">
        <v>805.06</v>
      </c>
      <c r="K242" s="1">
        <v>800.32</v>
      </c>
      <c r="L242" s="1">
        <v>843.26</v>
      </c>
      <c r="M242" s="1">
        <v>1007.85</v>
      </c>
      <c r="N242" s="1">
        <f t="shared" si="187"/>
        <v>10702.03</v>
      </c>
      <c r="P242" s="1">
        <f t="shared" si="184"/>
        <v>881.28909090909099</v>
      </c>
      <c r="Q242" s="1">
        <f t="shared" si="185"/>
        <v>126.56090909090904</v>
      </c>
    </row>
    <row r="243" spans="1:17" x14ac:dyDescent="0.3">
      <c r="A243" s="73" t="s">
        <v>181</v>
      </c>
      <c r="B243" s="1">
        <v>11891.59</v>
      </c>
      <c r="C243" s="1">
        <v>11089.07</v>
      </c>
      <c r="D243" s="1">
        <v>11189.22</v>
      </c>
      <c r="E243" s="1">
        <v>11179.32</v>
      </c>
      <c r="F243" s="1">
        <v>10355.59</v>
      </c>
      <c r="G243" s="1">
        <v>2547</v>
      </c>
      <c r="H243" s="1">
        <v>10193.629999999999</v>
      </c>
      <c r="I243" s="1">
        <v>11578.59</v>
      </c>
      <c r="J243" s="1">
        <v>11065.45</v>
      </c>
      <c r="K243" s="1">
        <v>11588.03</v>
      </c>
      <c r="L243" s="1">
        <v>10659.28</v>
      </c>
      <c r="M243" s="1">
        <v>10028.379999999999</v>
      </c>
      <c r="N243" s="1">
        <f t="shared" si="187"/>
        <v>123365.15</v>
      </c>
      <c r="P243" s="1">
        <f t="shared" si="184"/>
        <v>10303.342727272726</v>
      </c>
      <c r="Q243" s="1">
        <f t="shared" si="185"/>
        <v>-274.96272727272662</v>
      </c>
    </row>
    <row r="244" spans="1:17" x14ac:dyDescent="0.3">
      <c r="A244" s="73" t="s">
        <v>182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543.67999999999995</v>
      </c>
      <c r="K244" s="1">
        <v>0</v>
      </c>
      <c r="L244" s="1">
        <v>0</v>
      </c>
      <c r="M244" s="1">
        <v>0</v>
      </c>
      <c r="N244" s="1">
        <f t="shared" si="187"/>
        <v>543.67999999999995</v>
      </c>
      <c r="P244" s="1">
        <f t="shared" si="184"/>
        <v>49.425454545454542</v>
      </c>
      <c r="Q244" s="1">
        <f t="shared" si="185"/>
        <v>-49.425454545454542</v>
      </c>
    </row>
    <row r="245" spans="1:17" x14ac:dyDescent="0.3">
      <c r="A245" s="73" t="s">
        <v>183</v>
      </c>
      <c r="B245" s="1">
        <v>2200</v>
      </c>
      <c r="C245" s="1">
        <v>545.54</v>
      </c>
      <c r="D245" s="1">
        <v>774.24</v>
      </c>
      <c r="E245" s="1">
        <v>36.65</v>
      </c>
      <c r="F245" s="1">
        <v>22.4</v>
      </c>
      <c r="G245" s="1">
        <v>149.9</v>
      </c>
      <c r="H245" s="1">
        <v>27.1</v>
      </c>
      <c r="I245" s="1">
        <v>53.2</v>
      </c>
      <c r="J245" s="1">
        <v>11.78</v>
      </c>
      <c r="K245" s="1">
        <v>48.35</v>
      </c>
      <c r="L245" s="1">
        <v>-4997.2299999999996</v>
      </c>
      <c r="M245" s="1">
        <v>5918.28</v>
      </c>
      <c r="N245" s="1">
        <f t="shared" si="187"/>
        <v>4790.21</v>
      </c>
      <c r="P245" s="1">
        <f t="shared" si="184"/>
        <v>-102.55181818181815</v>
      </c>
      <c r="Q245" s="1">
        <f t="shared" si="185"/>
        <v>6020.8318181818177</v>
      </c>
    </row>
    <row r="246" spans="1:17" x14ac:dyDescent="0.3">
      <c r="A246" s="73" t="s">
        <v>184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f t="shared" si="187"/>
        <v>0</v>
      </c>
      <c r="O246" s="1"/>
      <c r="P246" s="1">
        <f t="shared" si="184"/>
        <v>0</v>
      </c>
      <c r="Q246" s="1">
        <f t="shared" si="185"/>
        <v>0</v>
      </c>
    </row>
    <row r="247" spans="1:17" x14ac:dyDescent="0.3">
      <c r="A247" s="73" t="s">
        <v>185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f t="shared" si="187"/>
        <v>0</v>
      </c>
      <c r="P247" s="1">
        <f t="shared" si="184"/>
        <v>0</v>
      </c>
      <c r="Q247" s="1">
        <f t="shared" si="185"/>
        <v>0</v>
      </c>
    </row>
    <row r="248" spans="1:17" x14ac:dyDescent="0.3">
      <c r="A248" s="73" t="s">
        <v>186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f t="shared" si="187"/>
        <v>0</v>
      </c>
      <c r="P248" s="1">
        <f t="shared" si="184"/>
        <v>0</v>
      </c>
      <c r="Q248" s="1">
        <f t="shared" si="185"/>
        <v>0</v>
      </c>
    </row>
    <row r="249" spans="1:17" x14ac:dyDescent="0.3">
      <c r="A249" s="73" t="s">
        <v>187</v>
      </c>
      <c r="B249" s="1">
        <v>0</v>
      </c>
      <c r="C249" s="1">
        <v>0</v>
      </c>
      <c r="D249" s="1">
        <v>0</v>
      </c>
      <c r="E249" s="1">
        <v>3888.88</v>
      </c>
      <c r="F249" s="1">
        <v>3888.88</v>
      </c>
      <c r="G249" s="1">
        <v>13152.25</v>
      </c>
      <c r="H249" s="1">
        <v>10269.51</v>
      </c>
      <c r="I249" s="1">
        <v>3908.87</v>
      </c>
      <c r="J249" s="1">
        <v>-19383.14</v>
      </c>
      <c r="K249" s="1">
        <v>0</v>
      </c>
      <c r="L249" s="1">
        <v>-9046.33</v>
      </c>
      <c r="M249" s="1">
        <v>17965.099999999999</v>
      </c>
      <c r="N249" s="1">
        <f t="shared" si="187"/>
        <v>24644.020000000004</v>
      </c>
      <c r="P249" s="1">
        <f t="shared" si="184"/>
        <v>607.17454545454598</v>
      </c>
      <c r="Q249" s="1">
        <f t="shared" si="185"/>
        <v>17357.925454545453</v>
      </c>
    </row>
    <row r="250" spans="1:17" x14ac:dyDescent="0.3">
      <c r="A250" s="73" t="s">
        <v>188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234.03</v>
      </c>
      <c r="H250" s="1">
        <v>0</v>
      </c>
      <c r="I250" s="1">
        <v>56.7</v>
      </c>
      <c r="J250" s="1">
        <v>106.9</v>
      </c>
      <c r="K250" s="1">
        <v>0</v>
      </c>
      <c r="L250" s="1">
        <v>452.7</v>
      </c>
      <c r="M250" s="1">
        <v>5828.64</v>
      </c>
      <c r="N250" s="1">
        <f t="shared" si="187"/>
        <v>6678.97</v>
      </c>
      <c r="O250" s="1"/>
      <c r="P250" s="1">
        <f t="shared" si="184"/>
        <v>77.302727272727267</v>
      </c>
      <c r="Q250" s="1">
        <f t="shared" si="185"/>
        <v>5751.3372727272726</v>
      </c>
    </row>
    <row r="251" spans="1:17" x14ac:dyDescent="0.3">
      <c r="A251" s="73" t="s">
        <v>189</v>
      </c>
      <c r="B251" s="1">
        <v>-1079.68</v>
      </c>
      <c r="C251" s="1">
        <v>2431.7199999999998</v>
      </c>
      <c r="D251" s="1">
        <v>1397.5</v>
      </c>
      <c r="E251" s="1">
        <f>1455.94+540.08</f>
        <v>1996.02</v>
      </c>
      <c r="F251" s="1">
        <v>4141.2299999999996</v>
      </c>
      <c r="G251" s="1">
        <v>1897.43</v>
      </c>
      <c r="H251" s="1">
        <v>1351.56</v>
      </c>
      <c r="I251" s="1">
        <v>1842.88</v>
      </c>
      <c r="J251" s="1">
        <v>-947.97</v>
      </c>
      <c r="K251" s="1">
        <v>1431.58</v>
      </c>
      <c r="L251" s="1">
        <v>1149.33</v>
      </c>
      <c r="M251" s="1">
        <v>1431.58</v>
      </c>
      <c r="N251" s="1">
        <f t="shared" si="187"/>
        <v>17043.18</v>
      </c>
      <c r="P251" s="1">
        <f t="shared" si="184"/>
        <v>1419.2363636363636</v>
      </c>
      <c r="Q251" s="1">
        <f t="shared" si="185"/>
        <v>12.343636363636278</v>
      </c>
    </row>
    <row r="252" spans="1:17" x14ac:dyDescent="0.3">
      <c r="A252" s="73" t="s">
        <v>190</v>
      </c>
      <c r="B252" s="1">
        <v>369.62</v>
      </c>
      <c r="C252" s="1">
        <v>337.5</v>
      </c>
      <c r="D252" s="1">
        <v>0</v>
      </c>
      <c r="E252" s="1">
        <v>269.62</v>
      </c>
      <c r="F252" s="1">
        <v>0</v>
      </c>
      <c r="G252" s="1">
        <v>0</v>
      </c>
      <c r="H252" s="1">
        <v>291.94</v>
      </c>
      <c r="I252" s="1">
        <v>0</v>
      </c>
      <c r="J252" s="1">
        <v>0</v>
      </c>
      <c r="K252" s="1">
        <v>291.93</v>
      </c>
      <c r="L252" s="1">
        <v>0</v>
      </c>
      <c r="M252" s="1">
        <v>0</v>
      </c>
      <c r="N252" s="1">
        <f t="shared" si="187"/>
        <v>1560.6100000000001</v>
      </c>
      <c r="P252" s="1">
        <f t="shared" si="184"/>
        <v>141.87363636363636</v>
      </c>
      <c r="Q252" s="1">
        <f t="shared" si="185"/>
        <v>-141.87363636363636</v>
      </c>
    </row>
    <row r="253" spans="1:17" x14ac:dyDescent="0.3">
      <c r="A253" s="73" t="s">
        <v>191</v>
      </c>
      <c r="B253" s="1">
        <v>5036.3900000000003</v>
      </c>
      <c r="C253" s="1">
        <v>4091.87</v>
      </c>
      <c r="D253" s="1">
        <v>4231.8500000000004</v>
      </c>
      <c r="E253" s="1">
        <v>1960.99</v>
      </c>
      <c r="F253" s="1">
        <v>3137.77</v>
      </c>
      <c r="G253" s="1">
        <v>2373.7600000000002</v>
      </c>
      <c r="H253" s="1">
        <v>2720.77</v>
      </c>
      <c r="I253" s="1">
        <v>2233.6799999999998</v>
      </c>
      <c r="J253" s="1">
        <v>1749.68</v>
      </c>
      <c r="K253" s="1">
        <v>1749.68</v>
      </c>
      <c r="L253" s="1">
        <v>1809.68</v>
      </c>
      <c r="M253" s="1">
        <v>1749.68</v>
      </c>
      <c r="N253" s="1">
        <f t="shared" si="187"/>
        <v>32845.799999999996</v>
      </c>
      <c r="P253" s="1">
        <f t="shared" si="184"/>
        <v>2826.9199999999996</v>
      </c>
      <c r="Q253" s="1">
        <f t="shared" si="185"/>
        <v>-1077.2399999999996</v>
      </c>
    </row>
    <row r="254" spans="1:17" x14ac:dyDescent="0.3">
      <c r="A254" s="73" t="s">
        <v>192</v>
      </c>
      <c r="B254" s="1">
        <v>2582.41</v>
      </c>
      <c r="C254" s="1">
        <v>2701.31</v>
      </c>
      <c r="D254" s="1">
        <v>3298.35</v>
      </c>
      <c r="E254" s="1">
        <v>2350.81</v>
      </c>
      <c r="F254" s="1">
        <v>2499.0500000000002</v>
      </c>
      <c r="G254" s="1">
        <v>3334.89</v>
      </c>
      <c r="H254" s="1">
        <v>2438.75</v>
      </c>
      <c r="I254" s="1">
        <v>2256.88</v>
      </c>
      <c r="J254" s="1">
        <v>-2442.33</v>
      </c>
      <c r="K254" s="1">
        <v>2761.82</v>
      </c>
      <c r="L254" s="1">
        <v>1312.38</v>
      </c>
      <c r="M254" s="1">
        <v>2759.5</v>
      </c>
      <c r="N254" s="1">
        <f t="shared" si="187"/>
        <v>25853.820000000003</v>
      </c>
      <c r="P254" s="1">
        <f t="shared" si="184"/>
        <v>2099.4836363636368</v>
      </c>
      <c r="Q254" s="1">
        <f t="shared" si="185"/>
        <v>660.01636363636317</v>
      </c>
    </row>
    <row r="255" spans="1:17" hidden="1" x14ac:dyDescent="0.3">
      <c r="A255" s="73" t="s">
        <v>193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P255" s="1">
        <f>(N255-M255)/11</f>
        <v>0</v>
      </c>
      <c r="Q255" s="1">
        <f>M255-P255</f>
        <v>0</v>
      </c>
    </row>
    <row r="256" spans="1:17" x14ac:dyDescent="0.3">
      <c r="A256" s="73" t="s">
        <v>194</v>
      </c>
      <c r="B256" s="1">
        <v>3253.33</v>
      </c>
      <c r="C256" s="1">
        <v>2533.33</v>
      </c>
      <c r="D256" s="1">
        <v>2533.33</v>
      </c>
      <c r="E256" s="1">
        <v>2533.33</v>
      </c>
      <c r="F256" s="1">
        <v>2533.33</v>
      </c>
      <c r="G256" s="1">
        <v>2533.33</v>
      </c>
      <c r="H256" s="1">
        <v>2533.33</v>
      </c>
      <c r="I256" s="1">
        <v>2533.33</v>
      </c>
      <c r="J256" s="1">
        <v>-10791.02</v>
      </c>
      <c r="K256" s="1">
        <v>2533.33</v>
      </c>
      <c r="L256" s="1">
        <v>2583.33</v>
      </c>
      <c r="M256" s="1">
        <v>0</v>
      </c>
      <c r="N256" s="1">
        <f t="shared" si="187"/>
        <v>15312.279999999999</v>
      </c>
      <c r="P256" s="1">
        <f t="shared" si="184"/>
        <v>1392.0254545454545</v>
      </c>
      <c r="Q256" s="1">
        <f t="shared" si="185"/>
        <v>-1392.0254545454545</v>
      </c>
    </row>
    <row r="257" spans="1:17" x14ac:dyDescent="0.3">
      <c r="A257" s="73" t="s">
        <v>195</v>
      </c>
      <c r="B257" s="1">
        <v>1266.67</v>
      </c>
      <c r="C257" s="1">
        <v>1266.67</v>
      </c>
      <c r="D257" s="1">
        <v>6536.01</v>
      </c>
      <c r="E257" s="1">
        <v>3238.1</v>
      </c>
      <c r="F257" s="1">
        <v>3238.1</v>
      </c>
      <c r="G257" s="1">
        <v>-3590.69</v>
      </c>
      <c r="H257" s="1">
        <v>1535.07</v>
      </c>
      <c r="I257" s="1">
        <v>1266.67</v>
      </c>
      <c r="J257" s="1">
        <v>2678.42</v>
      </c>
      <c r="K257" s="1">
        <v>1991.67</v>
      </c>
      <c r="L257" s="1">
        <v>2440.2399999999998</v>
      </c>
      <c r="M257" s="1">
        <v>-2038.58</v>
      </c>
      <c r="N257" s="1">
        <f t="shared" si="187"/>
        <v>19828.349999999999</v>
      </c>
      <c r="P257" s="1">
        <f t="shared" si="184"/>
        <v>1987.9027272727274</v>
      </c>
      <c r="Q257" s="1">
        <f t="shared" si="185"/>
        <v>-4026.4827272727271</v>
      </c>
    </row>
    <row r="258" spans="1:17" x14ac:dyDescent="0.3">
      <c r="A258" s="73" t="s">
        <v>196</v>
      </c>
      <c r="B258" s="1">
        <v>428.57</v>
      </c>
      <c r="C258" s="1">
        <v>428.57</v>
      </c>
      <c r="D258" s="1">
        <v>428.57</v>
      </c>
      <c r="E258" s="1">
        <v>428.57</v>
      </c>
      <c r="F258" s="1">
        <v>1580.99</v>
      </c>
      <c r="G258" s="1">
        <v>-895.84</v>
      </c>
      <c r="H258" s="1">
        <v>374.03</v>
      </c>
      <c r="I258" s="1">
        <v>750</v>
      </c>
      <c r="J258" s="1">
        <v>1068.75</v>
      </c>
      <c r="K258" s="1">
        <v>673.75</v>
      </c>
      <c r="L258" s="1">
        <v>342</v>
      </c>
      <c r="M258" s="1">
        <v>13.33</v>
      </c>
      <c r="N258" s="1">
        <f t="shared" si="187"/>
        <v>5621.29</v>
      </c>
      <c r="P258" s="1">
        <f t="shared" si="184"/>
        <v>509.81454545454545</v>
      </c>
      <c r="Q258" s="1">
        <f t="shared" si="185"/>
        <v>-496.48454545454547</v>
      </c>
    </row>
    <row r="259" spans="1:17" x14ac:dyDescent="0.3">
      <c r="A259" s="73" t="s">
        <v>197</v>
      </c>
      <c r="B259" s="1">
        <v>2451.4299999999998</v>
      </c>
      <c r="C259" s="1">
        <v>2673.97</v>
      </c>
      <c r="D259" s="1">
        <v>2254.42</v>
      </c>
      <c r="E259" s="1">
        <v>0</v>
      </c>
      <c r="F259" s="1">
        <v>865.5</v>
      </c>
      <c r="G259" s="1">
        <v>3530.1</v>
      </c>
      <c r="H259" s="1">
        <v>2405.85</v>
      </c>
      <c r="I259" s="1">
        <v>2695.65</v>
      </c>
      <c r="J259" s="1">
        <v>1073.3599999999999</v>
      </c>
      <c r="K259" s="1">
        <v>1240.24</v>
      </c>
      <c r="L259" s="1">
        <v>1636.36</v>
      </c>
      <c r="M259" s="1">
        <v>2372.2800000000002</v>
      </c>
      <c r="N259" s="1">
        <f t="shared" si="187"/>
        <v>23199.160000000003</v>
      </c>
      <c r="P259" s="1">
        <f t="shared" si="184"/>
        <v>1893.3527272727276</v>
      </c>
      <c r="Q259" s="1">
        <f t="shared" si="185"/>
        <v>478.92727272727257</v>
      </c>
    </row>
    <row r="260" spans="1:17" hidden="1" x14ac:dyDescent="0.3">
      <c r="A260" s="73" t="s">
        <v>198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>
        <f t="shared" si="187"/>
        <v>0</v>
      </c>
      <c r="P260" s="1">
        <f t="shared" si="184"/>
        <v>0</v>
      </c>
      <c r="Q260" s="1">
        <f t="shared" si="185"/>
        <v>0</v>
      </c>
    </row>
    <row r="261" spans="1:17" hidden="1" x14ac:dyDescent="0.3">
      <c r="A261" s="73" t="s">
        <v>435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>
        <f t="shared" si="187"/>
        <v>0</v>
      </c>
      <c r="P261" s="1"/>
      <c r="Q261" s="1"/>
    </row>
    <row r="262" spans="1:17" x14ac:dyDescent="0.3">
      <c r="A262" s="73" t="s">
        <v>393</v>
      </c>
      <c r="B262" s="1">
        <v>3782</v>
      </c>
      <c r="C262" s="1">
        <v>3307.08</v>
      </c>
      <c r="D262" s="1">
        <v>1484.08</v>
      </c>
      <c r="E262" s="1">
        <v>3120.16</v>
      </c>
      <c r="F262" s="1">
        <v>1484.08</v>
      </c>
      <c r="G262" s="1">
        <v>10055.51</v>
      </c>
      <c r="H262" s="1">
        <v>11706.59</v>
      </c>
      <c r="I262" s="1">
        <v>10222.51</v>
      </c>
      <c r="J262" s="1">
        <v>-2159.27</v>
      </c>
      <c r="K262" s="1">
        <v>9218.25</v>
      </c>
      <c r="L262" s="1">
        <v>7869.73</v>
      </c>
      <c r="M262" s="1">
        <v>23290.85</v>
      </c>
      <c r="N262" s="1">
        <f t="shared" si="187"/>
        <v>83381.570000000007</v>
      </c>
      <c r="P262" s="1"/>
      <c r="Q262" s="1"/>
    </row>
    <row r="263" spans="1:17" x14ac:dyDescent="0.3">
      <c r="A263" s="73" t="s">
        <v>430</v>
      </c>
      <c r="B263" s="1">
        <v>44000</v>
      </c>
      <c r="C263" s="1">
        <v>25000</v>
      </c>
      <c r="D263" s="1">
        <v>25000</v>
      </c>
      <c r="E263" s="1">
        <v>25000</v>
      </c>
      <c r="F263" s="1">
        <v>25000</v>
      </c>
      <c r="G263" s="1">
        <v>29428.57</v>
      </c>
      <c r="H263" s="1">
        <v>29428.57</v>
      </c>
      <c r="I263" s="1">
        <v>29428.57</v>
      </c>
      <c r="J263" s="1">
        <v>29428.57</v>
      </c>
      <c r="K263" s="1">
        <v>29428.57</v>
      </c>
      <c r="L263" s="1">
        <v>29428.57</v>
      </c>
      <c r="M263" s="1">
        <v>29428.57</v>
      </c>
      <c r="N263" s="1">
        <f t="shared" si="187"/>
        <v>349999.99000000005</v>
      </c>
      <c r="P263" s="1"/>
      <c r="Q263" s="1"/>
    </row>
    <row r="264" spans="1:17" x14ac:dyDescent="0.3">
      <c r="A264" s="73" t="s">
        <v>394</v>
      </c>
      <c r="B264" s="1">
        <v>7500</v>
      </c>
      <c r="C264" s="1">
        <v>7500</v>
      </c>
      <c r="D264" s="1">
        <v>8000</v>
      </c>
      <c r="E264" s="1">
        <v>7500</v>
      </c>
      <c r="F264" s="1">
        <v>7500</v>
      </c>
      <c r="G264" s="1">
        <v>7500</v>
      </c>
      <c r="H264" s="1">
        <v>7500</v>
      </c>
      <c r="I264" s="1">
        <v>7500</v>
      </c>
      <c r="J264" s="1">
        <v>7500</v>
      </c>
      <c r="K264" s="1">
        <v>7500</v>
      </c>
      <c r="L264" s="1">
        <v>7500</v>
      </c>
      <c r="M264" s="1">
        <v>7500</v>
      </c>
      <c r="N264" s="1">
        <f t="shared" si="187"/>
        <v>90500</v>
      </c>
      <c r="P264" s="1"/>
      <c r="Q264" s="1"/>
    </row>
    <row r="265" spans="1:17" x14ac:dyDescent="0.3">
      <c r="A265" s="73" t="s">
        <v>431</v>
      </c>
      <c r="B265" s="1">
        <v>0</v>
      </c>
      <c r="C265" s="1">
        <v>1215</v>
      </c>
      <c r="D265" s="1">
        <v>0</v>
      </c>
      <c r="E265" s="1">
        <v>8257.5</v>
      </c>
      <c r="F265" s="1">
        <v>3982.5</v>
      </c>
      <c r="G265" s="1">
        <v>6097.5</v>
      </c>
      <c r="H265" s="1">
        <v>9922.5</v>
      </c>
      <c r="I265" s="1">
        <v>4455</v>
      </c>
      <c r="J265" s="1">
        <v>-8350.8799999999992</v>
      </c>
      <c r="K265" s="1">
        <v>4630.2700000000004</v>
      </c>
      <c r="L265" s="1">
        <v>424.12</v>
      </c>
      <c r="M265" s="1">
        <v>3109.85</v>
      </c>
      <c r="N265" s="1">
        <f t="shared" si="187"/>
        <v>33743.360000000001</v>
      </c>
      <c r="P265" s="1"/>
      <c r="Q265" s="1"/>
    </row>
    <row r="266" spans="1:17" x14ac:dyDescent="0.3">
      <c r="A266" s="73" t="s">
        <v>432</v>
      </c>
      <c r="B266" s="1">
        <v>109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161</v>
      </c>
      <c r="I266" s="1">
        <v>300</v>
      </c>
      <c r="J266" s="1">
        <v>1093</v>
      </c>
      <c r="K266" s="1">
        <v>90</v>
      </c>
      <c r="L266" s="1">
        <v>910</v>
      </c>
      <c r="M266" s="1">
        <v>503.5</v>
      </c>
      <c r="N266" s="1">
        <f t="shared" si="187"/>
        <v>3166.5</v>
      </c>
      <c r="P266" s="1"/>
      <c r="Q266" s="1"/>
    </row>
    <row r="267" spans="1:17" x14ac:dyDescent="0.3">
      <c r="A267" s="73" t="s">
        <v>433</v>
      </c>
      <c r="B267" s="1">
        <v>0</v>
      </c>
      <c r="C267" s="1">
        <v>0</v>
      </c>
      <c r="D267" s="1">
        <v>0</v>
      </c>
      <c r="E267" s="1">
        <v>0</v>
      </c>
      <c r="F267" s="1">
        <v>300</v>
      </c>
      <c r="G267" s="1">
        <v>0</v>
      </c>
      <c r="H267" s="1">
        <v>0</v>
      </c>
      <c r="I267" s="1">
        <v>86.71</v>
      </c>
      <c r="J267" s="1">
        <v>0</v>
      </c>
      <c r="K267" s="1">
        <v>0</v>
      </c>
      <c r="L267" s="1">
        <v>0</v>
      </c>
      <c r="M267" s="1">
        <v>0</v>
      </c>
      <c r="N267" s="1">
        <f t="shared" si="187"/>
        <v>386.71</v>
      </c>
      <c r="P267" s="1"/>
      <c r="Q267" s="1"/>
    </row>
    <row r="268" spans="1:17" x14ac:dyDescent="0.3">
      <c r="A268" s="73" t="s">
        <v>434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573.52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f t="shared" si="187"/>
        <v>573.52</v>
      </c>
      <c r="P268" s="1"/>
      <c r="Q268" s="1"/>
    </row>
    <row r="269" spans="1:17" s="93" customFormat="1" x14ac:dyDescent="0.3">
      <c r="A269" t="s">
        <v>455</v>
      </c>
      <c r="B269" s="1"/>
      <c r="C269" s="1"/>
      <c r="D269" s="1"/>
      <c r="E269" s="92"/>
      <c r="F269" s="1"/>
      <c r="G269" s="1">
        <v>0</v>
      </c>
      <c r="H269" s="1">
        <v>0</v>
      </c>
      <c r="I269" s="1">
        <v>6518.25</v>
      </c>
      <c r="J269" s="1">
        <v>1181.6199999999999</v>
      </c>
      <c r="K269" s="1">
        <v>11590.85</v>
      </c>
      <c r="L269" s="1">
        <v>7906.3</v>
      </c>
      <c r="M269" s="1">
        <v>3449.32</v>
      </c>
      <c r="N269" s="1">
        <f t="shared" si="187"/>
        <v>30646.34</v>
      </c>
      <c r="P269" s="1"/>
      <c r="Q269" s="1"/>
    </row>
    <row r="270" spans="1:17" ht="15" thickBot="1" x14ac:dyDescent="0.35">
      <c r="A270" s="80" t="s">
        <v>199</v>
      </c>
      <c r="B270" s="29">
        <f t="shared" ref="B270:G270" si="188">SUM(B240:B268)</f>
        <v>90442.829999999987</v>
      </c>
      <c r="C270" s="29">
        <f t="shared" si="188"/>
        <v>71415.44</v>
      </c>
      <c r="D270" s="29">
        <f t="shared" si="188"/>
        <v>72804.350000000006</v>
      </c>
      <c r="E270" s="29">
        <f t="shared" si="188"/>
        <v>77596.460000000006</v>
      </c>
      <c r="F270" s="29">
        <f t="shared" si="188"/>
        <v>76368.37</v>
      </c>
      <c r="G270" s="29">
        <f t="shared" si="188"/>
        <v>87260.21</v>
      </c>
      <c r="H270" s="29">
        <f t="shared" ref="H270" si="189">SUM(H240:H267)</f>
        <v>100682.48999999999</v>
      </c>
      <c r="I270" s="29">
        <f t="shared" ref="I270:N270" si="190">SUM(I240:I269)</f>
        <v>93622.96</v>
      </c>
      <c r="J270" s="29">
        <f t="shared" si="190"/>
        <v>3254.6100000000069</v>
      </c>
      <c r="K270" s="29">
        <f t="shared" si="190"/>
        <v>90818.64</v>
      </c>
      <c r="L270" s="29">
        <f t="shared" si="190"/>
        <v>66473.72</v>
      </c>
      <c r="M270" s="29">
        <f t="shared" si="190"/>
        <v>115905.43000000002</v>
      </c>
      <c r="N270" s="29">
        <f t="shared" si="190"/>
        <v>946645.50999999989</v>
      </c>
      <c r="P270" s="29">
        <f t="shared" si="184"/>
        <v>75521.82545454544</v>
      </c>
      <c r="Q270" s="29">
        <f t="shared" si="185"/>
        <v>40383.604545454582</v>
      </c>
    </row>
    <row r="271" spans="1:17" ht="15" thickTop="1" x14ac:dyDescent="0.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P271" s="1">
        <f t="shared" si="184"/>
        <v>0</v>
      </c>
      <c r="Q271" s="1">
        <f t="shared" si="185"/>
        <v>0</v>
      </c>
    </row>
    <row r="272" spans="1:17" x14ac:dyDescent="0.3">
      <c r="A272" s="80" t="s">
        <v>324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P272" s="1">
        <f t="shared" si="184"/>
        <v>0</v>
      </c>
      <c r="Q272" s="1">
        <f t="shared" si="185"/>
        <v>0</v>
      </c>
    </row>
    <row r="273" spans="1:17" x14ac:dyDescent="0.3">
      <c r="A273" s="73" t="s">
        <v>200</v>
      </c>
      <c r="B273" s="1">
        <v>12500</v>
      </c>
      <c r="C273" s="1">
        <v>12500</v>
      </c>
      <c r="D273" s="1">
        <v>12500</v>
      </c>
      <c r="E273" s="1">
        <v>12500</v>
      </c>
      <c r="F273" s="1">
        <v>12500</v>
      </c>
      <c r="G273" s="1">
        <v>12500</v>
      </c>
      <c r="H273" s="1">
        <v>12500</v>
      </c>
      <c r="I273" s="1">
        <v>12500</v>
      </c>
      <c r="J273" s="1">
        <v>12500</v>
      </c>
      <c r="K273" s="1">
        <v>12500</v>
      </c>
      <c r="L273" s="1">
        <v>12500</v>
      </c>
      <c r="M273" s="1">
        <v>12500</v>
      </c>
      <c r="N273" s="1">
        <f t="shared" ref="N273:N284" si="191">SUM(B273:M273)</f>
        <v>150000</v>
      </c>
      <c r="P273" s="1">
        <f t="shared" si="184"/>
        <v>12500</v>
      </c>
      <c r="Q273" s="1">
        <f t="shared" si="185"/>
        <v>0</v>
      </c>
    </row>
    <row r="274" spans="1:17" x14ac:dyDescent="0.3">
      <c r="A274" s="73" t="s">
        <v>201</v>
      </c>
      <c r="B274" s="1">
        <v>34022.5</v>
      </c>
      <c r="C274" s="1">
        <v>34265</v>
      </c>
      <c r="D274" s="1">
        <v>34451.25</v>
      </c>
      <c r="E274" s="1">
        <v>34845</v>
      </c>
      <c r="F274" s="1">
        <v>34565</v>
      </c>
      <c r="G274" s="1">
        <v>34906.25</v>
      </c>
      <c r="H274" s="1">
        <v>36258.75</v>
      </c>
      <c r="I274" s="1">
        <v>35423.75</v>
      </c>
      <c r="J274" s="1">
        <v>-278737.5</v>
      </c>
      <c r="K274" s="1">
        <v>0</v>
      </c>
      <c r="L274" s="1">
        <v>0</v>
      </c>
      <c r="M274" s="1">
        <v>0</v>
      </c>
      <c r="N274" s="1">
        <f t="shared" si="191"/>
        <v>0</v>
      </c>
      <c r="P274" s="1">
        <f t="shared" si="184"/>
        <v>0</v>
      </c>
      <c r="Q274" s="1">
        <f t="shared" si="185"/>
        <v>0</v>
      </c>
    </row>
    <row r="275" spans="1:17" x14ac:dyDescent="0.3">
      <c r="A275" s="73" t="s">
        <v>395</v>
      </c>
      <c r="B275" s="1">
        <v>0</v>
      </c>
      <c r="C275" s="1">
        <v>0</v>
      </c>
      <c r="D275" s="1">
        <v>0</v>
      </c>
      <c r="E275" s="1">
        <v>0</v>
      </c>
      <c r="F275" s="1">
        <v>31752.38</v>
      </c>
      <c r="G275" s="1">
        <v>5625.56</v>
      </c>
      <c r="H275" s="1">
        <v>4645.78</v>
      </c>
      <c r="I275" s="1">
        <v>3846.94</v>
      </c>
      <c r="J275" s="1">
        <v>3326.21</v>
      </c>
      <c r="K275" s="1">
        <v>3245.67</v>
      </c>
      <c r="L275" s="1">
        <v>3067.11</v>
      </c>
      <c r="M275" s="1">
        <v>2688.81</v>
      </c>
      <c r="N275" s="1">
        <f t="shared" si="191"/>
        <v>58198.46</v>
      </c>
      <c r="P275" s="1"/>
      <c r="Q275" s="1"/>
    </row>
    <row r="276" spans="1:17" x14ac:dyDescent="0.3">
      <c r="A276" s="73" t="s">
        <v>202</v>
      </c>
      <c r="B276" s="1">
        <v>6585.5</v>
      </c>
      <c r="C276" s="1">
        <v>10400.5</v>
      </c>
      <c r="D276" s="1">
        <v>6846.5</v>
      </c>
      <c r="E276" s="1">
        <v>18155</v>
      </c>
      <c r="F276" s="1">
        <v>23942.5</v>
      </c>
      <c r="G276" s="1">
        <v>23535</v>
      </c>
      <c r="H276" s="1">
        <v>27107.66</v>
      </c>
      <c r="I276" s="1">
        <v>22399.58</v>
      </c>
      <c r="J276" s="1">
        <v>15252.15</v>
      </c>
      <c r="K276" s="1">
        <v>19396.66</v>
      </c>
      <c r="L276" s="1">
        <v>8388.56</v>
      </c>
      <c r="M276" s="1">
        <v>9975.44</v>
      </c>
      <c r="N276" s="1">
        <f t="shared" si="191"/>
        <v>191985.05</v>
      </c>
      <c r="P276" s="1"/>
      <c r="Q276" s="1"/>
    </row>
    <row r="277" spans="1:17" x14ac:dyDescent="0.3">
      <c r="A277" s="73" t="s">
        <v>203</v>
      </c>
      <c r="B277" s="1">
        <v>41021.9</v>
      </c>
      <c r="C277" s="1">
        <v>14206.22</v>
      </c>
      <c r="D277" s="1">
        <v>13266.54</v>
      </c>
      <c r="E277" s="1">
        <v>32043.16</v>
      </c>
      <c r="F277" s="1">
        <v>18002.150000000001</v>
      </c>
      <c r="G277" s="1">
        <v>18622.22</v>
      </c>
      <c r="H277" s="1">
        <v>12562.67</v>
      </c>
      <c r="I277" s="1">
        <v>3538.9</v>
      </c>
      <c r="J277" s="1">
        <v>30143.42</v>
      </c>
      <c r="K277" s="1">
        <v>22129.23</v>
      </c>
      <c r="L277" s="1">
        <v>34960.17</v>
      </c>
      <c r="M277" s="1">
        <v>47739.03</v>
      </c>
      <c r="N277" s="1">
        <f t="shared" si="191"/>
        <v>288235.61</v>
      </c>
      <c r="P277" s="1">
        <f t="shared" ref="P277:P289" si="192">(N277-M277)/11</f>
        <v>21863.325454545455</v>
      </c>
      <c r="Q277" s="1">
        <f t="shared" ref="Q277:Q289" si="193">M277-P277</f>
        <v>25875.704545454544</v>
      </c>
    </row>
    <row r="278" spans="1:17" x14ac:dyDescent="0.3">
      <c r="A278" s="73" t="s">
        <v>204</v>
      </c>
      <c r="B278" s="1">
        <v>-12832.51</v>
      </c>
      <c r="C278" s="1">
        <v>-10798.17</v>
      </c>
      <c r="D278" s="1">
        <v>-12464.55</v>
      </c>
      <c r="E278" s="1">
        <v>-15499.01</v>
      </c>
      <c r="F278" s="1">
        <v>-24863.5</v>
      </c>
      <c r="G278" s="1">
        <v>-16320.72</v>
      </c>
      <c r="H278" s="1">
        <v>-14231.08</v>
      </c>
      <c r="I278" s="1">
        <v>-15651.5</v>
      </c>
      <c r="J278" s="1">
        <v>-15109.51</v>
      </c>
      <c r="K278" s="1">
        <v>-16423.150000000001</v>
      </c>
      <c r="L278" s="1">
        <v>-14395.92</v>
      </c>
      <c r="M278" s="1">
        <v>-15040.61</v>
      </c>
      <c r="N278" s="1">
        <f t="shared" si="191"/>
        <v>-183630.22999999998</v>
      </c>
      <c r="P278" s="1">
        <f t="shared" si="192"/>
        <v>-15326.32909090909</v>
      </c>
      <c r="Q278" s="1">
        <f t="shared" si="193"/>
        <v>285.71909090908957</v>
      </c>
    </row>
    <row r="279" spans="1:17" x14ac:dyDescent="0.3">
      <c r="A279" s="73" t="s">
        <v>396</v>
      </c>
      <c r="B279" s="1">
        <v>0</v>
      </c>
      <c r="C279" s="1">
        <v>0</v>
      </c>
      <c r="D279" s="1">
        <v>0.1</v>
      </c>
      <c r="E279" s="1">
        <v>0</v>
      </c>
      <c r="F279" s="1">
        <v>0</v>
      </c>
      <c r="G279" s="1">
        <v>49.5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897.66</v>
      </c>
      <c r="N279" s="1">
        <f t="shared" si="191"/>
        <v>947.26</v>
      </c>
      <c r="P279" s="1">
        <f t="shared" si="192"/>
        <v>4.5090909090909115</v>
      </c>
      <c r="Q279" s="1">
        <f t="shared" si="193"/>
        <v>893.15090909090907</v>
      </c>
    </row>
    <row r="280" spans="1:17" x14ac:dyDescent="0.3">
      <c r="A280" s="73" t="s">
        <v>397</v>
      </c>
      <c r="B280" s="1">
        <v>0</v>
      </c>
      <c r="C280" s="1">
        <v>0</v>
      </c>
      <c r="D280" s="1">
        <v>0</v>
      </c>
      <c r="E280" s="1">
        <v>0</v>
      </c>
      <c r="F280" s="1">
        <v>2087.77</v>
      </c>
      <c r="G280" s="1">
        <v>2250.1799999999998</v>
      </c>
      <c r="H280" s="1">
        <v>1925.15</v>
      </c>
      <c r="I280" s="1">
        <v>9930.23</v>
      </c>
      <c r="J280" s="1">
        <v>9676.48</v>
      </c>
      <c r="K280" s="1">
        <v>11787.56</v>
      </c>
      <c r="L280" s="1">
        <v>14682.25</v>
      </c>
      <c r="M280" s="1">
        <v>17493.96</v>
      </c>
      <c r="N280" s="1">
        <f t="shared" si="191"/>
        <v>69833.579999999987</v>
      </c>
      <c r="P280" s="1"/>
      <c r="Q280" s="1"/>
    </row>
    <row r="281" spans="1:17" x14ac:dyDescent="0.3">
      <c r="A281" s="73" t="s">
        <v>437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944.87</v>
      </c>
      <c r="H281" s="1">
        <v>896.84</v>
      </c>
      <c r="I281" s="1">
        <v>1815.02</v>
      </c>
      <c r="J281" s="1">
        <v>1378.43</v>
      </c>
      <c r="K281" s="1">
        <v>1346.44</v>
      </c>
      <c r="L281" s="1">
        <v>214.73</v>
      </c>
      <c r="M281" s="1">
        <v>637.66999999999996</v>
      </c>
      <c r="N281" s="1">
        <f t="shared" si="191"/>
        <v>7234</v>
      </c>
      <c r="P281" s="1"/>
      <c r="Q281" s="1"/>
    </row>
    <row r="282" spans="1:17" x14ac:dyDescent="0.3">
      <c r="A282" s="73" t="s">
        <v>398</v>
      </c>
      <c r="B282" s="1">
        <v>0</v>
      </c>
      <c r="C282" s="1">
        <v>0</v>
      </c>
      <c r="D282" s="1">
        <v>0</v>
      </c>
      <c r="E282" s="1">
        <v>0</v>
      </c>
      <c r="F282" s="1">
        <v>7848.21</v>
      </c>
      <c r="G282" s="1">
        <v>7891.39</v>
      </c>
      <c r="H282" s="1">
        <v>2345.38</v>
      </c>
      <c r="I282" s="1">
        <v>2213.81</v>
      </c>
      <c r="J282" s="1">
        <v>1785.24</v>
      </c>
      <c r="K282" s="1">
        <v>2122.1999999999998</v>
      </c>
      <c r="L282" s="1">
        <v>2685.54</v>
      </c>
      <c r="M282" s="1">
        <v>3229.89</v>
      </c>
      <c r="N282" s="1">
        <f t="shared" si="191"/>
        <v>30121.660000000003</v>
      </c>
      <c r="P282" s="1"/>
      <c r="Q282" s="1"/>
    </row>
    <row r="283" spans="1:17" x14ac:dyDescent="0.3">
      <c r="A283" s="73" t="s">
        <v>436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2495.6</v>
      </c>
      <c r="H283" s="1">
        <v>7458.78</v>
      </c>
      <c r="I283" s="1">
        <v>7350.25</v>
      </c>
      <c r="J283" s="1">
        <v>8126.37</v>
      </c>
      <c r="K283" s="1">
        <v>10558.14</v>
      </c>
      <c r="L283" s="1">
        <v>12910.5</v>
      </c>
      <c r="M283" s="1">
        <v>11992.02</v>
      </c>
      <c r="N283" s="1">
        <f t="shared" si="191"/>
        <v>60891.66</v>
      </c>
      <c r="P283" s="1"/>
      <c r="Q283" s="1"/>
    </row>
    <row r="284" spans="1:17" x14ac:dyDescent="0.3">
      <c r="A284" s="73" t="s">
        <v>448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3098.28</v>
      </c>
      <c r="I284" s="1">
        <v>0</v>
      </c>
      <c r="J284" s="1">
        <v>0</v>
      </c>
      <c r="K284" s="1">
        <v>0</v>
      </c>
      <c r="L284" s="1">
        <v>0</v>
      </c>
      <c r="M284" s="1">
        <v>13890</v>
      </c>
      <c r="N284" s="1">
        <f t="shared" si="191"/>
        <v>16988.28</v>
      </c>
      <c r="P284" s="1"/>
      <c r="Q284" s="1"/>
    </row>
    <row r="285" spans="1:17" ht="15" thickBot="1" x14ac:dyDescent="0.35">
      <c r="A285" s="80" t="s">
        <v>205</v>
      </c>
      <c r="B285" s="34">
        <f t="shared" ref="B285:G285" si="194">SUM(B273:B284)</f>
        <v>81297.39</v>
      </c>
      <c r="C285" s="34">
        <f t="shared" si="194"/>
        <v>60573.55</v>
      </c>
      <c r="D285" s="34">
        <f t="shared" si="194"/>
        <v>54599.840000000004</v>
      </c>
      <c r="E285" s="34">
        <f t="shared" si="194"/>
        <v>82044.150000000009</v>
      </c>
      <c r="F285" s="34">
        <f t="shared" si="194"/>
        <v>105834.51000000001</v>
      </c>
      <c r="G285" s="34">
        <f t="shared" si="194"/>
        <v>92499.849999999991</v>
      </c>
      <c r="H285" s="34">
        <f t="shared" ref="H285" si="195">SUM(H273:H284)</f>
        <v>94568.209999999992</v>
      </c>
      <c r="I285" s="34">
        <f t="shared" ref="I285:N285" si="196">SUM(I273:I284)</f>
        <v>83366.98</v>
      </c>
      <c r="J285" s="34">
        <f t="shared" si="196"/>
        <v>-211658.71</v>
      </c>
      <c r="K285" s="34">
        <f t="shared" si="196"/>
        <v>66662.75</v>
      </c>
      <c r="L285" s="34">
        <f t="shared" si="196"/>
        <v>75012.94</v>
      </c>
      <c r="M285" s="34">
        <f t="shared" si="196"/>
        <v>106003.87000000001</v>
      </c>
      <c r="N285" s="34">
        <f t="shared" si="196"/>
        <v>690805.33000000007</v>
      </c>
      <c r="P285" s="34">
        <f t="shared" si="192"/>
        <v>53163.769090909096</v>
      </c>
      <c r="Q285" s="34">
        <f t="shared" si="193"/>
        <v>52840.100909090914</v>
      </c>
    </row>
    <row r="286" spans="1:17" ht="15" thickTop="1" x14ac:dyDescent="0.3">
      <c r="P286">
        <f t="shared" si="192"/>
        <v>0</v>
      </c>
      <c r="Q286">
        <f t="shared" si="193"/>
        <v>0</v>
      </c>
    </row>
    <row r="287" spans="1:17" s="28" customFormat="1" ht="15" thickBot="1" x14ac:dyDescent="0.35">
      <c r="A287" s="80" t="s">
        <v>206</v>
      </c>
      <c r="B287" s="29">
        <f t="shared" ref="B287:G287" si="197">B200-B214-B238-B270+B285</f>
        <v>65733.430000085864</v>
      </c>
      <c r="C287" s="29">
        <f t="shared" si="197"/>
        <v>62568.989999875965</v>
      </c>
      <c r="D287" s="29">
        <f t="shared" si="197"/>
        <v>190852.60999999283</v>
      </c>
      <c r="E287" s="29">
        <f t="shared" si="197"/>
        <v>-70572.119999890288</v>
      </c>
      <c r="F287" s="29">
        <f t="shared" si="197"/>
        <v>-203743.00000022177</v>
      </c>
      <c r="G287" s="29">
        <f t="shared" si="197"/>
        <v>-88358.510000069145</v>
      </c>
      <c r="H287" s="29">
        <f t="shared" ref="H287" si="198">H200-H214-H238-H270+H285</f>
        <v>-303625.04000008584</v>
      </c>
      <c r="I287" s="29">
        <f t="shared" ref="I287:N287" si="199">I200-I214-I238-I270+I285</f>
        <v>-208857.15000011685</v>
      </c>
      <c r="J287" s="29">
        <f t="shared" si="199"/>
        <v>624726.2899999572</v>
      </c>
      <c r="K287" s="29">
        <f t="shared" si="199"/>
        <v>-30452.230000001189</v>
      </c>
      <c r="L287" s="29">
        <f t="shared" si="199"/>
        <v>-220404.46999992366</v>
      </c>
      <c r="M287" s="29">
        <f>M200-M214-M238-M270+M285</f>
        <v>-388476.55999977468</v>
      </c>
      <c r="N287" s="29">
        <f t="shared" si="199"/>
        <v>-570607.76000017207</v>
      </c>
      <c r="P287" s="29">
        <f t="shared" si="192"/>
        <v>-16557.381818217946</v>
      </c>
      <c r="Q287" s="29">
        <f t="shared" si="193"/>
        <v>-371919.17818155675</v>
      </c>
    </row>
    <row r="288" spans="1:17" ht="15" thickTop="1" x14ac:dyDescent="0.3">
      <c r="P288">
        <f t="shared" si="192"/>
        <v>0</v>
      </c>
      <c r="Q288">
        <f t="shared" si="193"/>
        <v>0</v>
      </c>
    </row>
    <row r="289" spans="2:17" x14ac:dyDescent="0.3">
      <c r="B289" s="11">
        <f t="shared" ref="B289:G289" si="200">+B78-B287</f>
        <v>3.3396645449101925E-8</v>
      </c>
      <c r="C289" s="11">
        <f t="shared" si="200"/>
        <v>-8.5754436440765858E-8</v>
      </c>
      <c r="D289" s="11">
        <f t="shared" si="200"/>
        <v>-6.1991158872842789E-8</v>
      </c>
      <c r="E289" s="11">
        <f t="shared" si="200"/>
        <v>-1.5126715879887342E-7</v>
      </c>
      <c r="F289" s="11">
        <f t="shared" si="200"/>
        <v>2.2526364773511887E-7</v>
      </c>
      <c r="G289" s="11">
        <f t="shared" si="200"/>
        <v>1.1976226232945919E-8</v>
      </c>
      <c r="H289" s="11">
        <f t="shared" ref="H289" si="201">+H78-H287</f>
        <v>1.0972144082188606E-7</v>
      </c>
      <c r="I289" s="11">
        <f t="shared" ref="I289:N289" si="202">+I78-I287</f>
        <v>1.6932608559727669E-7</v>
      </c>
      <c r="J289" s="11">
        <f t="shared" si="202"/>
        <v>1.073349267244339E-7</v>
      </c>
      <c r="K289" s="11">
        <f t="shared" si="202"/>
        <v>1.2507371138781309E-7</v>
      </c>
      <c r="L289" s="11">
        <f t="shared" si="202"/>
        <v>4.8894435167312622E-8</v>
      </c>
      <c r="M289" s="11">
        <f t="shared" si="202"/>
        <v>-1.6082776710391045E-7</v>
      </c>
      <c r="N289" s="11">
        <f t="shared" si="202"/>
        <v>1.3541430234909058E-6</v>
      </c>
      <c r="P289" s="11">
        <f t="shared" si="192"/>
        <v>1.3772461732680147E-7</v>
      </c>
      <c r="Q289" s="11">
        <f t="shared" si="193"/>
        <v>-2.9855238443071191E-7</v>
      </c>
    </row>
    <row r="291" spans="2:17" x14ac:dyDescent="0.3">
      <c r="L291" s="11"/>
    </row>
  </sheetData>
  <pageMargins left="0.5" right="0.5" top="0.5" bottom="0.45899934383202101" header="0.5" footer="0.5"/>
  <pageSetup scale="32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100" activePane="bottomLeft" state="frozen"/>
      <selection activeCell="E34" sqref="E34"/>
      <selection pane="bottomLeft" activeCell="C114" sqref="C114"/>
    </sheetView>
  </sheetViews>
  <sheetFormatPr defaultRowHeight="14.4" x14ac:dyDescent="0.3"/>
  <cols>
    <col min="1" max="1" width="81.44140625" bestFit="1" customWidth="1"/>
    <col min="2" max="2" width="38.109375" bestFit="1" customWidth="1"/>
    <col min="3" max="3" width="32.109375" bestFit="1" customWidth="1"/>
    <col min="4" max="4" width="29.88671875" bestFit="1" customWidth="1"/>
    <col min="5" max="5" width="24.109375" bestFit="1" customWidth="1"/>
    <col min="6" max="6" width="28.44140625" bestFit="1" customWidth="1"/>
    <col min="7" max="7" width="26.33203125" bestFit="1" customWidth="1"/>
    <col min="8" max="8" width="27" bestFit="1" customWidth="1"/>
    <col min="9" max="9" width="38.109375" bestFit="1" customWidth="1"/>
    <col min="12" max="12" width="16.88671875" style="35" bestFit="1" customWidth="1"/>
  </cols>
  <sheetData>
    <row r="1" spans="1:12" ht="36.6" x14ac:dyDescent="0.7">
      <c r="A1" s="134" t="s">
        <v>330</v>
      </c>
      <c r="B1" s="134"/>
      <c r="C1" s="134"/>
      <c r="D1" s="134"/>
      <c r="E1" s="134"/>
      <c r="F1" s="134"/>
      <c r="G1" s="134"/>
      <c r="H1" s="134"/>
      <c r="I1" s="134"/>
    </row>
    <row r="2" spans="1:12" ht="36.6" x14ac:dyDescent="0.7">
      <c r="A2" s="134" t="s">
        <v>329</v>
      </c>
      <c r="B2" s="134"/>
      <c r="C2" s="134"/>
      <c r="D2" s="134"/>
      <c r="E2" s="134"/>
      <c r="F2" s="134"/>
      <c r="G2" s="134"/>
      <c r="H2" s="134"/>
      <c r="I2" s="134"/>
    </row>
    <row r="3" spans="1:12" ht="36.6" x14ac:dyDescent="0.7">
      <c r="A3" s="134" t="s">
        <v>265</v>
      </c>
      <c r="B3" s="134"/>
      <c r="C3" s="134"/>
      <c r="D3" s="134"/>
      <c r="E3" s="134"/>
      <c r="F3" s="134"/>
      <c r="G3" s="134"/>
      <c r="H3" s="134"/>
      <c r="I3" s="134"/>
    </row>
    <row r="4" spans="1:12" ht="36.6" x14ac:dyDescent="0.7">
      <c r="A4" s="135" t="s">
        <v>537</v>
      </c>
      <c r="B4" s="136"/>
      <c r="C4" s="136"/>
      <c r="D4" s="136"/>
      <c r="E4" s="136"/>
      <c r="F4" s="136"/>
      <c r="G4" s="136"/>
      <c r="H4" s="136"/>
      <c r="I4" s="136"/>
    </row>
    <row r="6" spans="1:12" s="60" customFormat="1" ht="30" customHeight="1" x14ac:dyDescent="0.6">
      <c r="A6" s="44"/>
      <c r="B6" s="49" t="s">
        <v>212</v>
      </c>
      <c r="C6" s="49" t="s">
        <v>214</v>
      </c>
      <c r="D6" s="49" t="s">
        <v>213</v>
      </c>
      <c r="E6" s="49" t="s">
        <v>215</v>
      </c>
      <c r="F6" s="49" t="s">
        <v>216</v>
      </c>
      <c r="G6" s="49" t="s">
        <v>408</v>
      </c>
      <c r="H6" s="49" t="s">
        <v>418</v>
      </c>
      <c r="I6" s="49" t="s">
        <v>207</v>
      </c>
      <c r="L6" s="62"/>
    </row>
    <row r="7" spans="1:12" s="60" customFormat="1" ht="42.75" customHeight="1" x14ac:dyDescent="0.6">
      <c r="A7" s="50" t="s">
        <v>62</v>
      </c>
      <c r="B7" s="44"/>
      <c r="C7" s="44"/>
      <c r="D7" s="44"/>
      <c r="E7" s="44"/>
      <c r="F7" s="44"/>
      <c r="G7" s="44"/>
      <c r="H7" s="44"/>
      <c r="I7" s="44"/>
      <c r="L7" s="62"/>
    </row>
    <row r="8" spans="1:12" s="60" customFormat="1" ht="42.75" customHeight="1" x14ac:dyDescent="0.6">
      <c r="A8" s="44" t="s">
        <v>217</v>
      </c>
      <c r="B8" s="51">
        <f>'Comp YTD 2018-2017 Dec'!B16</f>
        <v>1208781796.5699999</v>
      </c>
      <c r="C8" s="51">
        <f>'Comp YTD 2018-2017 Dec'!C16</f>
        <v>77671947.450000003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f t="shared" ref="I8:I15" si="0">SUM(B8:H8)</f>
        <v>1286453744.02</v>
      </c>
      <c r="L8" s="62"/>
    </row>
    <row r="9" spans="1:12" s="60" customFormat="1" ht="42.75" customHeight="1" x14ac:dyDescent="0.6">
      <c r="A9" s="44" t="s">
        <v>218</v>
      </c>
      <c r="B9" s="51">
        <f>'Comp YTD 2018-2017 Dec'!B17</f>
        <v>3420732836.6400003</v>
      </c>
      <c r="C9" s="51">
        <f>'Comp YTD 2018-2017 Dec'!C17</f>
        <v>4899871.53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f t="shared" si="0"/>
        <v>3425632708.1700006</v>
      </c>
      <c r="L9" s="62"/>
    </row>
    <row r="10" spans="1:12" s="60" customFormat="1" ht="42.75" customHeight="1" x14ac:dyDescent="0.6">
      <c r="A10" s="44" t="s">
        <v>219</v>
      </c>
      <c r="B10" s="51">
        <f>'Comp YTD 2018-2017 Dec'!B18</f>
        <v>16763190.700000001</v>
      </c>
      <c r="C10" s="51">
        <f>'Comp YTD 2018-2017 Dec'!C18</f>
        <v>461515.02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f t="shared" si="0"/>
        <v>17224705.720000003</v>
      </c>
      <c r="L10" s="62"/>
    </row>
    <row r="11" spans="1:12" s="60" customFormat="1" ht="42.75" customHeight="1" x14ac:dyDescent="0.6">
      <c r="A11" s="44" t="s">
        <v>421</v>
      </c>
      <c r="B11" s="51">
        <f>'Comp YTD 2018-2017 Dec'!B19</f>
        <v>21684618.390000001</v>
      </c>
      <c r="C11" s="51">
        <f>'Comp YTD 2018-2017 Dec'!C19</f>
        <v>38676.800000000003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f t="shared" si="0"/>
        <v>21723295.190000001</v>
      </c>
      <c r="L11" s="62"/>
    </row>
    <row r="12" spans="1:12" s="60" customFormat="1" ht="42.75" customHeight="1" x14ac:dyDescent="0.6">
      <c r="A12" s="44" t="s">
        <v>220</v>
      </c>
      <c r="B12" s="51">
        <f>'Comp YTD 2018-2017 Dec'!B20</f>
        <v>6725580.9700000007</v>
      </c>
      <c r="C12" s="51">
        <f>0</f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f t="shared" si="0"/>
        <v>6725580.9700000007</v>
      </c>
      <c r="L12" s="62"/>
    </row>
    <row r="13" spans="1:12" s="60" customFormat="1" ht="42.75" customHeight="1" x14ac:dyDescent="0.6">
      <c r="A13" s="44" t="s">
        <v>221</v>
      </c>
      <c r="B13" s="51">
        <f>'Comp YTD 2018-2017 Dec'!B21</f>
        <v>10399858.559999999</v>
      </c>
      <c r="C13" s="51">
        <f>'Comp YTD 2018-2017 Dec'!C21</f>
        <v>4640.01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f t="shared" si="0"/>
        <v>10404498.569999998</v>
      </c>
      <c r="L13" s="62"/>
    </row>
    <row r="14" spans="1:12" s="60" customFormat="1" ht="42.75" customHeight="1" x14ac:dyDescent="0.6">
      <c r="A14" s="44" t="s">
        <v>222</v>
      </c>
      <c r="B14" s="51">
        <f>'Comp YTD 2018-2017 Dec'!B22</f>
        <v>1205594.0499999998</v>
      </c>
      <c r="C14" s="51">
        <f>'Comp YTD 2018-2017 Dec'!C22</f>
        <v>3537678.12</v>
      </c>
      <c r="D14" s="51">
        <f>DEP!N17</f>
        <v>3620725.9899999998</v>
      </c>
      <c r="E14" s="51">
        <v>0</v>
      </c>
      <c r="F14" s="51">
        <f>'BSC (Dome)'!N14</f>
        <v>792870.54000000015</v>
      </c>
      <c r="G14" s="51">
        <v>0</v>
      </c>
      <c r="H14" s="51">
        <v>0</v>
      </c>
      <c r="I14" s="51">
        <f t="shared" si="0"/>
        <v>9156868.7000000011</v>
      </c>
      <c r="L14" s="62"/>
    </row>
    <row r="15" spans="1:12" s="60" customFormat="1" ht="42.75" customHeight="1" x14ac:dyDescent="0.6">
      <c r="A15" s="50" t="s">
        <v>223</v>
      </c>
      <c r="B15" s="53">
        <f t="shared" ref="B15:H15" si="1">SUM(B8:B14)</f>
        <v>4686293475.8800011</v>
      </c>
      <c r="C15" s="53">
        <f t="shared" si="1"/>
        <v>86614328.930000007</v>
      </c>
      <c r="D15" s="53">
        <f t="shared" si="1"/>
        <v>3620725.9899999998</v>
      </c>
      <c r="E15" s="53">
        <f t="shared" si="1"/>
        <v>0</v>
      </c>
      <c r="F15" s="53">
        <f t="shared" si="1"/>
        <v>792870.54000000015</v>
      </c>
      <c r="G15" s="53">
        <f t="shared" si="1"/>
        <v>0</v>
      </c>
      <c r="H15" s="53">
        <f t="shared" si="1"/>
        <v>0</v>
      </c>
      <c r="I15" s="53">
        <f t="shared" si="0"/>
        <v>4777321401.3400011</v>
      </c>
      <c r="L15" s="62"/>
    </row>
    <row r="16" spans="1:12" s="60" customFormat="1" ht="42.75" customHeight="1" x14ac:dyDescent="0.6">
      <c r="A16" s="44"/>
      <c r="B16" s="51"/>
      <c r="C16" s="51"/>
      <c r="D16" s="51"/>
      <c r="E16" s="51"/>
      <c r="F16" s="51"/>
      <c r="G16" s="51"/>
      <c r="H16" s="51"/>
      <c r="I16" s="51"/>
      <c r="L16" s="62"/>
    </row>
    <row r="17" spans="1:12" s="60" customFormat="1" ht="42.75" customHeight="1" x14ac:dyDescent="0.6">
      <c r="A17" s="50" t="s">
        <v>208</v>
      </c>
      <c r="B17" s="51"/>
      <c r="C17" s="51"/>
      <c r="D17" s="51"/>
      <c r="E17" s="51"/>
      <c r="F17" s="51"/>
      <c r="G17" s="51"/>
      <c r="H17" s="51"/>
      <c r="I17" s="51"/>
      <c r="L17" s="62"/>
    </row>
    <row r="18" spans="1:12" s="60" customFormat="1" ht="42.75" customHeight="1" x14ac:dyDescent="0.6">
      <c r="A18" s="44" t="s">
        <v>217</v>
      </c>
      <c r="B18" s="51">
        <f>'Comp YTD 2018-2017 Dec'!B26</f>
        <v>1224955378.6800001</v>
      </c>
      <c r="C18" s="51">
        <f>BPM!N20+BPM!N31</f>
        <v>77323651.609999999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f t="shared" ref="I18:I25" si="2">SUM(B18:H18)</f>
        <v>1302279030.29</v>
      </c>
      <c r="L18" s="62"/>
    </row>
    <row r="19" spans="1:12" s="60" customFormat="1" ht="42.75" customHeight="1" x14ac:dyDescent="0.6">
      <c r="A19" s="44" t="s">
        <v>218</v>
      </c>
      <c r="B19" s="51">
        <f>'Comp YTD 2018-2017 Dec'!B27</f>
        <v>3415334576.23</v>
      </c>
      <c r="C19" s="51">
        <f>BPM!N21+BPM!N32</f>
        <v>4598035.9400000004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f t="shared" si="2"/>
        <v>3419932612.1700001</v>
      </c>
      <c r="L19" s="62"/>
    </row>
    <row r="20" spans="1:12" s="60" customFormat="1" ht="42.75" customHeight="1" x14ac:dyDescent="0.6">
      <c r="A20" s="44" t="s">
        <v>219</v>
      </c>
      <c r="B20" s="51">
        <f>'Comp YTD 2018-2017 Dec'!B28</f>
        <v>16027975.710000005</v>
      </c>
      <c r="C20" s="51">
        <f>BPM!N22+BPM!N33</f>
        <v>437453.97000000003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f t="shared" si="2"/>
        <v>16465429.680000005</v>
      </c>
      <c r="L20" s="62"/>
    </row>
    <row r="21" spans="1:12" s="60" customFormat="1" ht="42.75" customHeight="1" x14ac:dyDescent="0.6">
      <c r="A21" s="44" t="s">
        <v>421</v>
      </c>
      <c r="B21" s="51">
        <f>'Comp YTD 2018-2017 Dec'!B29</f>
        <v>21830823.120000005</v>
      </c>
      <c r="C21" s="51">
        <f>BPM!N23</f>
        <v>30798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f t="shared" si="2"/>
        <v>21861621.120000005</v>
      </c>
      <c r="L21" s="62"/>
    </row>
    <row r="22" spans="1:12" s="60" customFormat="1" ht="42.75" customHeight="1" x14ac:dyDescent="0.6">
      <c r="A22" s="44" t="s">
        <v>220</v>
      </c>
      <c r="B22" s="51">
        <f>'Comp YTD 2018-2017 Dec'!B30</f>
        <v>6534977.7699999986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f t="shared" si="2"/>
        <v>6534977.7699999986</v>
      </c>
      <c r="L22" s="62"/>
    </row>
    <row r="23" spans="1:12" s="60" customFormat="1" ht="42.75" customHeight="1" x14ac:dyDescent="0.6">
      <c r="A23" s="44" t="s">
        <v>221</v>
      </c>
      <c r="B23" s="51">
        <f>'Comp YTD 2018-2017 Dec'!B31</f>
        <v>10189250</v>
      </c>
      <c r="C23" s="51">
        <f>BPM!N25</f>
        <v>3516.5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f t="shared" si="2"/>
        <v>10192766.5</v>
      </c>
      <c r="L23" s="62"/>
    </row>
    <row r="24" spans="1:12" s="60" customFormat="1" ht="42.75" customHeight="1" x14ac:dyDescent="0.6">
      <c r="A24" s="44" t="s">
        <v>222</v>
      </c>
      <c r="B24" s="51">
        <f>'Comp YTD 2018-2017 Dec'!B32</f>
        <v>-14135039.560000002</v>
      </c>
      <c r="C24" s="51">
        <f>BPM!N24+BPM!N26+BPM!N27+BPM!N34+BPM!N35+BPM!N29+BPM!N30+BPM!N28</f>
        <v>2936223.27</v>
      </c>
      <c r="D24" s="51">
        <f>DEP!N23</f>
        <v>519827.81000000006</v>
      </c>
      <c r="E24" s="51">
        <v>0</v>
      </c>
      <c r="F24" s="51">
        <f>'BSC (Dome)'!N17</f>
        <v>1929.4099999999999</v>
      </c>
      <c r="G24" s="51">
        <v>0</v>
      </c>
      <c r="H24" s="51">
        <v>0</v>
      </c>
      <c r="I24" s="51">
        <f t="shared" si="2"/>
        <v>-10677059.070000002</v>
      </c>
      <c r="L24" s="62"/>
    </row>
    <row r="25" spans="1:12" s="60" customFormat="1" ht="42.75" customHeight="1" x14ac:dyDescent="0.6">
      <c r="A25" s="50" t="s">
        <v>224</v>
      </c>
      <c r="B25" s="53">
        <f t="shared" ref="B25:H25" si="3">SUM(B18:B24)</f>
        <v>4680737941.9499998</v>
      </c>
      <c r="C25" s="53">
        <f t="shared" si="3"/>
        <v>85329679.289999992</v>
      </c>
      <c r="D25" s="53">
        <f t="shared" si="3"/>
        <v>519827.81000000006</v>
      </c>
      <c r="E25" s="53">
        <f t="shared" si="3"/>
        <v>0</v>
      </c>
      <c r="F25" s="53">
        <f t="shared" si="3"/>
        <v>1929.4099999999999</v>
      </c>
      <c r="G25" s="53">
        <f t="shared" si="3"/>
        <v>0</v>
      </c>
      <c r="H25" s="53">
        <f t="shared" si="3"/>
        <v>0</v>
      </c>
      <c r="I25" s="53">
        <f t="shared" si="2"/>
        <v>4766589378.46</v>
      </c>
      <c r="L25" s="62"/>
    </row>
    <row r="26" spans="1:12" s="60" customFormat="1" ht="42.75" customHeight="1" x14ac:dyDescent="0.6">
      <c r="A26" s="44"/>
      <c r="B26" s="51"/>
      <c r="C26" s="51"/>
      <c r="D26" s="51"/>
      <c r="E26" s="51"/>
      <c r="F26" s="51"/>
      <c r="G26" s="51"/>
      <c r="H26" s="51"/>
      <c r="I26" s="51"/>
      <c r="L26" s="62"/>
    </row>
    <row r="27" spans="1:12" s="60" customFormat="1" ht="42.75" customHeight="1" thickBot="1" x14ac:dyDescent="0.65">
      <c r="A27" s="50" t="s">
        <v>211</v>
      </c>
      <c r="B27" s="56">
        <f t="shared" ref="B27:H27" si="4">B15-B25</f>
        <v>5555533.9300012589</v>
      </c>
      <c r="C27" s="56">
        <f t="shared" si="4"/>
        <v>1284649.6400000155</v>
      </c>
      <c r="D27" s="56">
        <f t="shared" si="4"/>
        <v>3100898.1799999997</v>
      </c>
      <c r="E27" s="56">
        <f t="shared" si="4"/>
        <v>0</v>
      </c>
      <c r="F27" s="56">
        <f t="shared" si="4"/>
        <v>790941.13000000012</v>
      </c>
      <c r="G27" s="56">
        <f t="shared" si="4"/>
        <v>0</v>
      </c>
      <c r="H27" s="56">
        <f t="shared" si="4"/>
        <v>0</v>
      </c>
      <c r="I27" s="56">
        <f>SUM(B27:H27)</f>
        <v>10732022.880001275</v>
      </c>
      <c r="L27" s="62"/>
    </row>
    <row r="28" spans="1:12" s="60" customFormat="1" ht="42.75" customHeight="1" x14ac:dyDescent="0.6">
      <c r="A28" s="44"/>
      <c r="B28" s="51"/>
      <c r="C28" s="51"/>
      <c r="D28" s="51"/>
      <c r="E28" s="51"/>
      <c r="F28" s="51"/>
      <c r="G28" s="51"/>
      <c r="H28" s="51"/>
      <c r="I28" s="51"/>
      <c r="L28" s="62"/>
    </row>
    <row r="29" spans="1:12" s="60" customFormat="1" ht="42.75" customHeight="1" x14ac:dyDescent="0.6">
      <c r="A29" s="50" t="s">
        <v>209</v>
      </c>
      <c r="B29" s="51"/>
      <c r="C29" s="51"/>
      <c r="D29" s="51"/>
      <c r="E29" s="51"/>
      <c r="F29" s="51"/>
      <c r="G29" s="51"/>
      <c r="H29" s="51"/>
      <c r="I29" s="51"/>
      <c r="L29" s="62"/>
    </row>
    <row r="30" spans="1:12" s="60" customFormat="1" ht="42.75" customHeight="1" x14ac:dyDescent="0.6">
      <c r="A30" s="44"/>
      <c r="B30" s="51"/>
      <c r="C30" s="51"/>
      <c r="D30" s="51"/>
      <c r="E30" s="51"/>
      <c r="F30" s="51"/>
      <c r="G30" s="51"/>
      <c r="H30" s="51"/>
      <c r="I30" s="51"/>
      <c r="L30" s="62"/>
    </row>
    <row r="31" spans="1:12" s="60" customFormat="1" ht="42.75" customHeight="1" x14ac:dyDescent="0.6">
      <c r="A31" s="50" t="s">
        <v>225</v>
      </c>
      <c r="B31" s="51"/>
      <c r="C31" s="51"/>
      <c r="D31" s="51"/>
      <c r="E31" s="51"/>
      <c r="F31" s="51"/>
      <c r="G31" s="51"/>
      <c r="H31" s="51"/>
      <c r="I31" s="51"/>
      <c r="L31" s="62"/>
    </row>
    <row r="32" spans="1:12" s="60" customFormat="1" ht="42.75" customHeight="1" x14ac:dyDescent="0.6">
      <c r="A32" s="44" t="s">
        <v>226</v>
      </c>
      <c r="B32" s="51">
        <f>'Comp YTD 2018-2017 Dec'!B41</f>
        <v>2606742.25</v>
      </c>
      <c r="C32" s="51">
        <f>BPM!N43</f>
        <v>701959.7</v>
      </c>
      <c r="D32" s="51">
        <f>DEP!N29</f>
        <v>848837.41</v>
      </c>
      <c r="E32" s="51">
        <v>0</v>
      </c>
      <c r="F32" s="51">
        <f>'BSC (Dome)'!N24+'BSC (Dome)'!N32</f>
        <v>314439.95999999996</v>
      </c>
      <c r="G32" s="51">
        <v>0</v>
      </c>
      <c r="H32" s="51">
        <v>0</v>
      </c>
      <c r="I32" s="51">
        <f t="shared" ref="I32:I42" si="5">SUM(B32:H32)</f>
        <v>4471979.32</v>
      </c>
      <c r="L32" s="62"/>
    </row>
    <row r="33" spans="1:12" s="60" customFormat="1" ht="42.75" customHeight="1" x14ac:dyDescent="0.6">
      <c r="A33" s="44" t="s">
        <v>545</v>
      </c>
      <c r="B33" s="51">
        <f>'Comp YTD 2018-2017 Dec'!B42</f>
        <v>286.27999999999997</v>
      </c>
      <c r="C33" s="51">
        <v>0</v>
      </c>
      <c r="D33" s="51">
        <v>0</v>
      </c>
      <c r="E33" s="51">
        <v>0</v>
      </c>
      <c r="F33" s="51">
        <f>'Comp YTD 2018-2017 Dec'!F42</f>
        <v>5872.5</v>
      </c>
      <c r="G33" s="51">
        <v>0</v>
      </c>
      <c r="H33" s="51">
        <v>0</v>
      </c>
      <c r="I33" s="51">
        <f t="shared" si="5"/>
        <v>6158.78</v>
      </c>
      <c r="L33" s="62"/>
    </row>
    <row r="34" spans="1:12" s="60" customFormat="1" ht="42.75" customHeight="1" x14ac:dyDescent="0.6">
      <c r="A34" s="44" t="s">
        <v>227</v>
      </c>
      <c r="B34" s="51">
        <f>'Comp YTD 2018-2017 Dec'!B43</f>
        <v>38281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f t="shared" si="5"/>
        <v>38281</v>
      </c>
      <c r="L34" s="62"/>
    </row>
    <row r="35" spans="1:12" s="60" customFormat="1" ht="42.75" customHeight="1" x14ac:dyDescent="0.6">
      <c r="A35" s="44" t="s">
        <v>228</v>
      </c>
      <c r="B35" s="51">
        <f>'Comp YTD 2018-2017 Dec'!B44</f>
        <v>209770.30999999997</v>
      </c>
      <c r="C35" s="51">
        <f>BPM!N44</f>
        <v>55758.57</v>
      </c>
      <c r="D35" s="51">
        <f>DEP!N30</f>
        <v>65735.010000000009</v>
      </c>
      <c r="E35" s="51">
        <v>0</v>
      </c>
      <c r="F35" s="51">
        <f>'BSC (Dome)'!N26</f>
        <v>20918.280000000002</v>
      </c>
      <c r="G35" s="51">
        <v>0</v>
      </c>
      <c r="H35" s="51">
        <v>0</v>
      </c>
      <c r="I35" s="51">
        <f t="shared" si="5"/>
        <v>352182.17</v>
      </c>
      <c r="L35" s="62"/>
    </row>
    <row r="36" spans="1:12" s="60" customFormat="1" ht="42.75" customHeight="1" x14ac:dyDescent="0.6">
      <c r="A36" s="44" t="s">
        <v>229</v>
      </c>
      <c r="B36" s="51">
        <f>'Comp YTD 2018-2017 Dec'!B45</f>
        <v>223406.7</v>
      </c>
      <c r="C36" s="51">
        <f>BPM!N45</f>
        <v>36164.119999999995</v>
      </c>
      <c r="D36" s="51">
        <f>DEP!N31</f>
        <v>100999.13</v>
      </c>
      <c r="E36" s="51">
        <v>0</v>
      </c>
      <c r="F36" s="51">
        <f>'BSC (Dome)'!N27</f>
        <v>58838.880000000005</v>
      </c>
      <c r="G36" s="51">
        <v>0</v>
      </c>
      <c r="H36" s="51">
        <v>0</v>
      </c>
      <c r="I36" s="51">
        <f t="shared" si="5"/>
        <v>419408.83</v>
      </c>
      <c r="L36" s="62"/>
    </row>
    <row r="37" spans="1:12" s="60" customFormat="1" ht="42.75" customHeight="1" x14ac:dyDescent="0.6">
      <c r="A37" s="44" t="s">
        <v>230</v>
      </c>
      <c r="B37" s="51">
        <f>'Comp YTD 2018-2017 Dec'!B46</f>
        <v>31540.97</v>
      </c>
      <c r="C37" s="51">
        <f>BPM!N46</f>
        <v>9124.52</v>
      </c>
      <c r="D37" s="51">
        <f>DEP!N32</f>
        <v>4711.1099999999997</v>
      </c>
      <c r="E37" s="51">
        <v>0</v>
      </c>
      <c r="F37" s="51">
        <f>'BSC (Dome)'!N28</f>
        <v>3737.5800000000004</v>
      </c>
      <c r="G37" s="51">
        <v>0</v>
      </c>
      <c r="H37" s="51">
        <v>0</v>
      </c>
      <c r="I37" s="51">
        <f t="shared" si="5"/>
        <v>49114.180000000008</v>
      </c>
      <c r="L37" s="62"/>
    </row>
    <row r="38" spans="1:12" s="60" customFormat="1" ht="42.75" customHeight="1" x14ac:dyDescent="0.6">
      <c r="A38" s="44" t="s">
        <v>231</v>
      </c>
      <c r="B38" s="51">
        <f>'Comp YTD 2018-2017 Dec'!B47</f>
        <v>77546.92</v>
      </c>
      <c r="C38" s="51">
        <f>BPM!N47</f>
        <v>18307.82</v>
      </c>
      <c r="D38" s="51">
        <f>DEP!N33</f>
        <v>21975.360000000001</v>
      </c>
      <c r="E38" s="51">
        <v>0</v>
      </c>
      <c r="F38" s="51">
        <f>'BSC (Dome)'!N30</f>
        <v>6020.9400000000005</v>
      </c>
      <c r="G38" s="51">
        <v>0</v>
      </c>
      <c r="H38" s="51">
        <v>0</v>
      </c>
      <c r="I38" s="51">
        <f t="shared" si="5"/>
        <v>123851.04</v>
      </c>
      <c r="L38" s="62"/>
    </row>
    <row r="39" spans="1:12" s="60" customFormat="1" ht="42.75" customHeight="1" x14ac:dyDescent="0.6">
      <c r="A39" s="44" t="s">
        <v>307</v>
      </c>
      <c r="B39" s="51">
        <f>'Comp YTD 2018-2017 Dec'!B48</f>
        <v>17354.98</v>
      </c>
      <c r="C39" s="51">
        <v>0</v>
      </c>
      <c r="D39" s="51">
        <f>DEP!N34</f>
        <v>2113.34</v>
      </c>
      <c r="E39" s="51">
        <v>0</v>
      </c>
      <c r="F39" s="51">
        <f>'BSC (Dome)'!N29+'BSC (Dome)'!N31</f>
        <v>2854.0699999999997</v>
      </c>
      <c r="G39" s="51">
        <v>0</v>
      </c>
      <c r="H39" s="51">
        <v>0</v>
      </c>
      <c r="I39" s="51">
        <f t="shared" si="5"/>
        <v>22322.39</v>
      </c>
      <c r="L39" s="62"/>
    </row>
    <row r="40" spans="1:12" s="60" customFormat="1" ht="42.75" customHeight="1" x14ac:dyDescent="0.6">
      <c r="A40" s="44" t="s">
        <v>232</v>
      </c>
      <c r="B40" s="51">
        <f>'Comp YTD 2018-2017 Dec'!B49</f>
        <v>7251.74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f t="shared" si="5"/>
        <v>7251.74</v>
      </c>
      <c r="L40" s="62"/>
    </row>
    <row r="41" spans="1:12" s="60" customFormat="1" ht="42.75" customHeight="1" x14ac:dyDescent="0.6">
      <c r="A41" s="44" t="s">
        <v>246</v>
      </c>
      <c r="B41" s="51">
        <f>'Comp YTD 2018-2017 Dec'!B50</f>
        <v>37758.97</v>
      </c>
      <c r="C41" s="51">
        <f>BPM!N48</f>
        <v>6064.87</v>
      </c>
      <c r="D41" s="51">
        <f>DEP!N35</f>
        <v>15162.18</v>
      </c>
      <c r="E41" s="51">
        <v>0</v>
      </c>
      <c r="F41" s="51">
        <v>0</v>
      </c>
      <c r="G41" s="51">
        <v>0</v>
      </c>
      <c r="H41" s="51">
        <v>0</v>
      </c>
      <c r="I41" s="51">
        <f t="shared" si="5"/>
        <v>58986.020000000004</v>
      </c>
      <c r="L41" s="62"/>
    </row>
    <row r="42" spans="1:12" s="60" customFormat="1" ht="42.75" customHeight="1" x14ac:dyDescent="0.6">
      <c r="A42" s="50" t="s">
        <v>233</v>
      </c>
      <c r="B42" s="53">
        <f t="shared" ref="B42:H42" si="6">SUM(B32:B41)</f>
        <v>3249940.1200000006</v>
      </c>
      <c r="C42" s="53">
        <f t="shared" si="6"/>
        <v>827379.59999999986</v>
      </c>
      <c r="D42" s="53">
        <f t="shared" si="6"/>
        <v>1059533.54</v>
      </c>
      <c r="E42" s="53">
        <f t="shared" si="6"/>
        <v>0</v>
      </c>
      <c r="F42" s="53">
        <f t="shared" si="6"/>
        <v>412682.21</v>
      </c>
      <c r="G42" s="53">
        <f t="shared" si="6"/>
        <v>0</v>
      </c>
      <c r="H42" s="53">
        <f t="shared" si="6"/>
        <v>0</v>
      </c>
      <c r="I42" s="53">
        <f t="shared" si="5"/>
        <v>5549535.4700000007</v>
      </c>
      <c r="L42" s="62"/>
    </row>
    <row r="43" spans="1:12" s="60" customFormat="1" ht="42.75" customHeight="1" x14ac:dyDescent="0.6">
      <c r="A43" s="44"/>
      <c r="B43" s="51"/>
      <c r="C43" s="51"/>
      <c r="D43" s="51"/>
      <c r="E43" s="51"/>
      <c r="F43" s="51"/>
      <c r="G43" s="51"/>
      <c r="H43" s="51"/>
      <c r="I43" s="51"/>
      <c r="L43" s="62"/>
    </row>
    <row r="44" spans="1:12" s="60" customFormat="1" ht="42.75" customHeight="1" x14ac:dyDescent="0.6">
      <c r="A44" s="50" t="s">
        <v>486</v>
      </c>
      <c r="B44" s="51"/>
      <c r="C44" s="51"/>
      <c r="D44" s="51"/>
      <c r="E44" s="51"/>
      <c r="F44" s="51"/>
      <c r="G44" s="51"/>
      <c r="H44" s="51"/>
      <c r="I44" s="51"/>
      <c r="L44" s="62"/>
    </row>
    <row r="45" spans="1:12" s="60" customFormat="1" ht="42.75" customHeight="1" x14ac:dyDescent="0.6">
      <c r="A45" s="44" t="s">
        <v>234</v>
      </c>
      <c r="B45" s="51">
        <f>'Comp YTD 2018-2017 Dec'!B54</f>
        <v>550400</v>
      </c>
      <c r="C45" s="51">
        <f>BPM!N52</f>
        <v>60000</v>
      </c>
      <c r="D45" s="51">
        <f>DEP!N39</f>
        <v>450000</v>
      </c>
      <c r="E45" s="51">
        <v>0</v>
      </c>
      <c r="F45" s="51">
        <f>'BSC (Dome)'!N36</f>
        <v>12000</v>
      </c>
      <c r="G45" s="51">
        <v>0</v>
      </c>
      <c r="H45" s="51">
        <v>0</v>
      </c>
      <c r="I45" s="51">
        <f t="shared" ref="I45:I67" si="7">SUM(B45:H45)</f>
        <v>1072400</v>
      </c>
      <c r="L45" s="62"/>
    </row>
    <row r="46" spans="1:12" s="60" customFormat="1" ht="42.75" customHeight="1" x14ac:dyDescent="0.6">
      <c r="A46" s="44" t="s">
        <v>235</v>
      </c>
      <c r="B46" s="51">
        <f>'Comp YTD 2018-2017 Dec'!B55</f>
        <v>10666.050000000003</v>
      </c>
      <c r="C46" s="51">
        <v>0</v>
      </c>
      <c r="D46" s="51">
        <f>DEP!N40</f>
        <v>82722.490000000005</v>
      </c>
      <c r="E46" s="51">
        <v>0</v>
      </c>
      <c r="F46" s="51">
        <f>'BSC (Dome)'!N38</f>
        <v>7117.5</v>
      </c>
      <c r="G46" s="51">
        <v>0</v>
      </c>
      <c r="H46" s="51">
        <v>0</v>
      </c>
      <c r="I46" s="51">
        <f t="shared" si="7"/>
        <v>100506.04000000001</v>
      </c>
      <c r="L46" s="62"/>
    </row>
    <row r="47" spans="1:12" s="60" customFormat="1" ht="42.75" customHeight="1" x14ac:dyDescent="0.6">
      <c r="A47" s="44" t="s">
        <v>236</v>
      </c>
      <c r="B47" s="51">
        <f>'Comp YTD 2018-2017 Dec'!B56</f>
        <v>10590.46</v>
      </c>
      <c r="C47" s="51">
        <v>0</v>
      </c>
      <c r="D47" s="51">
        <v>0</v>
      </c>
      <c r="E47" s="51">
        <v>0</v>
      </c>
      <c r="F47" s="51">
        <f>'BSC (Dome)'!N37</f>
        <v>74436.37000000001</v>
      </c>
      <c r="G47" s="51">
        <v>0</v>
      </c>
      <c r="H47" s="51">
        <v>0</v>
      </c>
      <c r="I47" s="51">
        <f t="shared" si="7"/>
        <v>85026.830000000016</v>
      </c>
      <c r="L47" s="62"/>
    </row>
    <row r="48" spans="1:12" s="60" customFormat="1" ht="42.75" customHeight="1" x14ac:dyDescent="0.6">
      <c r="A48" s="44" t="s">
        <v>337</v>
      </c>
      <c r="B48" s="51">
        <f>'Comp YTD 2018-2017 Dec'!B57</f>
        <v>1078.46</v>
      </c>
      <c r="C48" s="51">
        <v>0</v>
      </c>
      <c r="D48" s="51">
        <v>0</v>
      </c>
      <c r="E48" s="51">
        <v>0</v>
      </c>
      <c r="F48" s="51">
        <f>'BSC (Dome)'!N39</f>
        <v>2221.1</v>
      </c>
      <c r="G48" s="51">
        <v>0</v>
      </c>
      <c r="H48" s="51">
        <v>0</v>
      </c>
      <c r="I48" s="51">
        <f t="shared" si="7"/>
        <v>3299.56</v>
      </c>
      <c r="L48" s="62"/>
    </row>
    <row r="49" spans="1:12" s="60" customFormat="1" ht="42.75" customHeight="1" x14ac:dyDescent="0.6">
      <c r="A49" s="44" t="s">
        <v>290</v>
      </c>
      <c r="B49" s="51">
        <f>'Comp YTD 2018-2017 Dec'!B58</f>
        <v>535.34999999999991</v>
      </c>
      <c r="C49" s="51">
        <v>0</v>
      </c>
      <c r="D49" s="51">
        <f>DEP!N41</f>
        <v>1800</v>
      </c>
      <c r="E49" s="51">
        <v>0</v>
      </c>
      <c r="F49" s="51">
        <f>'BSC (Dome)'!N40</f>
        <v>7992.87</v>
      </c>
      <c r="G49" s="51">
        <v>0</v>
      </c>
      <c r="H49" s="51">
        <v>0</v>
      </c>
      <c r="I49" s="51">
        <f t="shared" si="7"/>
        <v>10328.219999999999</v>
      </c>
      <c r="L49" s="62"/>
    </row>
    <row r="50" spans="1:12" s="60" customFormat="1" ht="42.75" customHeight="1" x14ac:dyDescent="0.6">
      <c r="A50" s="44" t="s">
        <v>445</v>
      </c>
      <c r="B50" s="51">
        <f>'Comp YTD 2018-2017 Dec'!B59</f>
        <v>26990</v>
      </c>
      <c r="C50" s="51">
        <v>0</v>
      </c>
      <c r="D50" s="51">
        <f>DEP!N42</f>
        <v>29009.200000000001</v>
      </c>
      <c r="E50" s="51">
        <v>0</v>
      </c>
      <c r="F50" s="51">
        <f>'BSC (Dome)'!N41</f>
        <v>0</v>
      </c>
      <c r="G50" s="51">
        <v>0</v>
      </c>
      <c r="H50" s="51">
        <v>0</v>
      </c>
      <c r="I50" s="51">
        <f t="shared" si="7"/>
        <v>55999.199999999997</v>
      </c>
      <c r="L50" s="62"/>
    </row>
    <row r="51" spans="1:12" s="60" customFormat="1" ht="42.75" customHeight="1" x14ac:dyDescent="0.6">
      <c r="A51" s="44" t="s">
        <v>376</v>
      </c>
      <c r="B51" s="51">
        <f>'Comp YTD 2018-2017 Dec'!B60</f>
        <v>155842.57999999999</v>
      </c>
      <c r="C51" s="51">
        <f>BPM!N53</f>
        <v>2719.73</v>
      </c>
      <c r="D51" s="51">
        <f>DEP!N43</f>
        <v>46031.03</v>
      </c>
      <c r="E51" s="51">
        <v>0</v>
      </c>
      <c r="F51" s="51">
        <f>'BSC (Dome)'!N42</f>
        <v>11459.64</v>
      </c>
      <c r="G51" s="51">
        <v>0</v>
      </c>
      <c r="H51" s="51">
        <v>0</v>
      </c>
      <c r="I51" s="51">
        <f t="shared" si="7"/>
        <v>216052.97999999998</v>
      </c>
      <c r="L51" s="62"/>
    </row>
    <row r="52" spans="1:12" s="60" customFormat="1" ht="42.75" customHeight="1" x14ac:dyDescent="0.6">
      <c r="A52" s="44" t="s">
        <v>374</v>
      </c>
      <c r="B52" s="51">
        <f>'Comp YTD 2018-2017 Dec'!B61</f>
        <v>0</v>
      </c>
      <c r="C52" s="51">
        <v>0</v>
      </c>
      <c r="D52" s="51">
        <v>0</v>
      </c>
      <c r="E52" s="51">
        <v>0</v>
      </c>
      <c r="F52" s="51">
        <f>'BSC (Dome)'!N43+'BSC (Dome)'!N49</f>
        <v>15974.13</v>
      </c>
      <c r="G52" s="51">
        <v>0</v>
      </c>
      <c r="H52" s="51">
        <v>0</v>
      </c>
      <c r="I52" s="51">
        <f t="shared" si="7"/>
        <v>15974.13</v>
      </c>
      <c r="L52" s="62"/>
    </row>
    <row r="53" spans="1:12" s="60" customFormat="1" ht="42.75" customHeight="1" x14ac:dyDescent="0.6">
      <c r="A53" s="44" t="s">
        <v>239</v>
      </c>
      <c r="B53" s="51">
        <f>'Comp YTD 2018-2017 Dec'!B62</f>
        <v>107137.28000000001</v>
      </c>
      <c r="C53" s="51">
        <v>0</v>
      </c>
      <c r="D53" s="51">
        <f>DEP!N44</f>
        <v>62935.24000000002</v>
      </c>
      <c r="E53" s="51">
        <v>0</v>
      </c>
      <c r="F53" s="51">
        <f>'BSC (Dome)'!N45</f>
        <v>739.67</v>
      </c>
      <c r="G53" s="51">
        <v>0</v>
      </c>
      <c r="H53" s="51">
        <v>0</v>
      </c>
      <c r="I53" s="51">
        <f t="shared" si="7"/>
        <v>170812.19000000003</v>
      </c>
      <c r="L53" s="62"/>
    </row>
    <row r="54" spans="1:12" s="60" customFormat="1" ht="42.75" customHeight="1" x14ac:dyDescent="0.6">
      <c r="A54" s="44" t="s">
        <v>240</v>
      </c>
      <c r="B54" s="51">
        <f>'Comp YTD 2018-2017 Dec'!B63</f>
        <v>38009.360000000001</v>
      </c>
      <c r="C54" s="51">
        <v>0</v>
      </c>
      <c r="D54" s="51">
        <f>DEP!N45</f>
        <v>14369.55</v>
      </c>
      <c r="E54" s="51">
        <v>0</v>
      </c>
      <c r="F54" s="51">
        <v>0</v>
      </c>
      <c r="G54" s="51">
        <v>0</v>
      </c>
      <c r="H54" s="51">
        <v>0</v>
      </c>
      <c r="I54" s="51">
        <f t="shared" si="7"/>
        <v>52378.91</v>
      </c>
      <c r="L54" s="62"/>
    </row>
    <row r="55" spans="1:12" s="60" customFormat="1" ht="42.75" customHeight="1" x14ac:dyDescent="0.6">
      <c r="A55" s="44" t="s">
        <v>238</v>
      </c>
      <c r="B55" s="51">
        <f>'Comp YTD 2018-2017 Dec'!B64</f>
        <v>54707.439999999988</v>
      </c>
      <c r="C55" s="51">
        <f>BPM!N54</f>
        <v>5941.1100000000006</v>
      </c>
      <c r="D55" s="51">
        <f>DEP!N46</f>
        <v>217684.57</v>
      </c>
      <c r="E55" s="51">
        <v>0</v>
      </c>
      <c r="F55" s="51">
        <f>'BSC (Dome)'!N47</f>
        <v>29259.329999999998</v>
      </c>
      <c r="G55" s="51">
        <v>0</v>
      </c>
      <c r="H55" s="51">
        <v>0</v>
      </c>
      <c r="I55" s="51">
        <f t="shared" si="7"/>
        <v>307592.45</v>
      </c>
      <c r="L55" s="62"/>
    </row>
    <row r="56" spans="1:12" s="60" customFormat="1" ht="42.75" customHeight="1" x14ac:dyDescent="0.6">
      <c r="A56" s="44" t="s">
        <v>356</v>
      </c>
      <c r="B56" s="51">
        <f>'Comp YTD 2018-2017 Dec'!B71</f>
        <v>3166.5</v>
      </c>
      <c r="C56" s="51">
        <f>BPM!N67</f>
        <v>468.88000000000005</v>
      </c>
      <c r="D56" s="51">
        <f>DEP!N69</f>
        <v>449</v>
      </c>
      <c r="E56" s="51">
        <f>Lending!N11</f>
        <v>109</v>
      </c>
      <c r="F56" s="51">
        <f>'BSC (Dome)'!N48</f>
        <v>1665</v>
      </c>
      <c r="G56" s="51">
        <f>'Oliari Co.'!N10</f>
        <v>520</v>
      </c>
      <c r="H56" s="51">
        <f>'722 Bedford St'!N10</f>
        <v>520</v>
      </c>
      <c r="I56" s="51">
        <f t="shared" si="7"/>
        <v>6898.38</v>
      </c>
      <c r="L56" s="62"/>
    </row>
    <row r="57" spans="1:12" s="60" customFormat="1" ht="42.75" customHeight="1" x14ac:dyDescent="0.6">
      <c r="A57" s="44" t="s">
        <v>359</v>
      </c>
      <c r="B57" s="51">
        <f>'Comp YTD 2018-2017 Dec'!B65</f>
        <v>0</v>
      </c>
      <c r="C57" s="51">
        <v>0</v>
      </c>
      <c r="D57" s="51">
        <v>0</v>
      </c>
      <c r="E57" s="51">
        <v>0</v>
      </c>
      <c r="F57" s="51">
        <f>'BSC (Dome)'!N44</f>
        <v>19873.979999999996</v>
      </c>
      <c r="G57" s="51">
        <v>0</v>
      </c>
      <c r="H57" s="51">
        <v>0</v>
      </c>
      <c r="I57" s="51">
        <f t="shared" si="7"/>
        <v>19873.979999999996</v>
      </c>
      <c r="L57" s="62"/>
    </row>
    <row r="58" spans="1:12" s="60" customFormat="1" ht="42.75" customHeight="1" x14ac:dyDescent="0.6">
      <c r="A58" s="44" t="s">
        <v>241</v>
      </c>
      <c r="B58" s="51">
        <f>'Comp YTD 2018-2017 Dec'!B66</f>
        <v>41964.72</v>
      </c>
      <c r="C58" s="51">
        <v>0</v>
      </c>
      <c r="D58" s="51">
        <f>DEP!N47</f>
        <v>398.36</v>
      </c>
      <c r="E58" s="51">
        <v>0</v>
      </c>
      <c r="F58" s="51">
        <f>'BSC (Dome)'!N50</f>
        <v>1417.5100000000002</v>
      </c>
      <c r="G58" s="51">
        <v>0</v>
      </c>
      <c r="H58" s="51">
        <v>0</v>
      </c>
      <c r="I58" s="51">
        <f t="shared" si="7"/>
        <v>43780.590000000004</v>
      </c>
      <c r="L58" s="62"/>
    </row>
    <row r="59" spans="1:12" s="60" customFormat="1" ht="42.75" customHeight="1" x14ac:dyDescent="0.6">
      <c r="A59" s="44" t="s">
        <v>242</v>
      </c>
      <c r="B59" s="51">
        <f>'Comp YTD 2018-2017 Dec'!B67</f>
        <v>12202.319999999998</v>
      </c>
      <c r="C59" s="51">
        <v>0</v>
      </c>
      <c r="D59" s="51">
        <f>DEP!N49</f>
        <v>4451.6299999999992</v>
      </c>
      <c r="E59" s="51">
        <v>0</v>
      </c>
      <c r="F59" s="51">
        <f>0</f>
        <v>0</v>
      </c>
      <c r="G59" s="51">
        <f>0</f>
        <v>0</v>
      </c>
      <c r="H59" s="51">
        <f>0</f>
        <v>0</v>
      </c>
      <c r="I59" s="51">
        <f t="shared" si="7"/>
        <v>16653.949999999997</v>
      </c>
      <c r="L59" s="62"/>
    </row>
    <row r="60" spans="1:12" s="60" customFormat="1" ht="42.75" customHeight="1" x14ac:dyDescent="0.6">
      <c r="A60" s="44" t="s">
        <v>243</v>
      </c>
      <c r="B60" s="51">
        <f>'Comp YTD 2018-2017 Dec'!B68</f>
        <v>3999.9599999999996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f t="shared" si="7"/>
        <v>3999.9599999999996</v>
      </c>
      <c r="L60" s="62"/>
    </row>
    <row r="61" spans="1:12" s="60" customFormat="1" ht="42.75" customHeight="1" x14ac:dyDescent="0.6">
      <c r="A61" s="44" t="s">
        <v>244</v>
      </c>
      <c r="B61" s="51">
        <f>'Comp YTD 2018-2017 Dec'!B69</f>
        <v>1486541.88</v>
      </c>
      <c r="C61" s="51">
        <f>BPM!N55</f>
        <v>4743.6099999999997</v>
      </c>
      <c r="D61" s="51">
        <f>DEP!N50</f>
        <v>126181.48999999999</v>
      </c>
      <c r="E61" s="51">
        <v>0</v>
      </c>
      <c r="F61" s="51">
        <f>'BSC (Dome)'!N53</f>
        <v>110674.99</v>
      </c>
      <c r="G61" s="51">
        <f>'Oliari Co.'!N11</f>
        <v>111013.19000000003</v>
      </c>
      <c r="H61" s="51">
        <f>'722 Bedford St'!N11</f>
        <v>176833.96000000002</v>
      </c>
      <c r="I61" s="51">
        <f t="shared" si="7"/>
        <v>2015989.1199999999</v>
      </c>
      <c r="L61" s="62"/>
    </row>
    <row r="62" spans="1:12" s="60" customFormat="1" ht="42.75" customHeight="1" x14ac:dyDescent="0.6">
      <c r="A62" s="44" t="s">
        <v>254</v>
      </c>
      <c r="B62" s="51">
        <f>'Comp YTD 2018-2017 Dec'!B70</f>
        <v>1560.6100000000001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f t="shared" si="7"/>
        <v>1560.6100000000001</v>
      </c>
      <c r="L62" s="62"/>
    </row>
    <row r="63" spans="1:12" s="60" customFormat="1" ht="42.75" customHeight="1" x14ac:dyDescent="0.6">
      <c r="A63" s="44" t="s">
        <v>247</v>
      </c>
      <c r="B63" s="51">
        <f>'Comp YTD 2018-2017 Dec'!B72</f>
        <v>17043.18</v>
      </c>
      <c r="C63" s="51">
        <f>BPM!N68</f>
        <v>2820.38</v>
      </c>
      <c r="D63" s="51">
        <f>DEP!N51</f>
        <v>18788.209999999995</v>
      </c>
      <c r="E63" s="51">
        <v>0</v>
      </c>
      <c r="F63" s="51">
        <f>'BSC (Dome)'!N54</f>
        <v>0</v>
      </c>
      <c r="G63" s="51">
        <v>0</v>
      </c>
      <c r="H63" s="51">
        <v>0</v>
      </c>
      <c r="I63" s="51">
        <f t="shared" si="7"/>
        <v>38651.769999999997</v>
      </c>
      <c r="L63" s="62"/>
    </row>
    <row r="64" spans="1:12" s="60" customFormat="1" ht="42.75" customHeight="1" x14ac:dyDescent="0.6">
      <c r="A64" s="44" t="s">
        <v>248</v>
      </c>
      <c r="B64" s="51">
        <f>'Comp YTD 2018-2017 Dec'!B73</f>
        <v>134430.88999999996</v>
      </c>
      <c r="C64" s="51">
        <f>BPM!N62</f>
        <v>22738.28</v>
      </c>
      <c r="D64" s="51">
        <f>DEP!N48</f>
        <v>87509.759999999995</v>
      </c>
      <c r="E64" s="51">
        <v>0</v>
      </c>
      <c r="F64" s="51">
        <f>0</f>
        <v>0</v>
      </c>
      <c r="G64" s="51">
        <v>0</v>
      </c>
      <c r="H64" s="51">
        <v>0</v>
      </c>
      <c r="I64" s="51">
        <f t="shared" si="7"/>
        <v>244678.92999999993</v>
      </c>
      <c r="L64" s="62"/>
    </row>
    <row r="65" spans="1:12" s="60" customFormat="1" ht="42.75" customHeight="1" x14ac:dyDescent="0.6">
      <c r="A65" s="44" t="s">
        <v>368</v>
      </c>
      <c r="B65" s="51">
        <f>'Comp YTD 2018-2017 Dec'!B74</f>
        <v>31517.78</v>
      </c>
      <c r="C65" s="51">
        <v>0</v>
      </c>
      <c r="D65" s="51">
        <f>DEP!N52</f>
        <v>7476.93</v>
      </c>
      <c r="E65" s="51">
        <v>0</v>
      </c>
      <c r="F65" s="51">
        <f>'BSC (Dome)'!N55</f>
        <v>2372.79</v>
      </c>
      <c r="G65" s="51">
        <v>0</v>
      </c>
      <c r="H65" s="51">
        <v>0</v>
      </c>
      <c r="I65" s="51">
        <f>SUM(B65:H65)</f>
        <v>41367.5</v>
      </c>
      <c r="L65" s="62"/>
    </row>
    <row r="66" spans="1:12" s="60" customFormat="1" ht="42.75" customHeight="1" x14ac:dyDescent="0.6">
      <c r="A66" s="44" t="s">
        <v>369</v>
      </c>
      <c r="B66" s="51">
        <f>'Comp YTD 2018-2017 Dec'!B75</f>
        <v>22152.17</v>
      </c>
      <c r="C66" s="51">
        <f>BPM!N61</f>
        <v>7257.89</v>
      </c>
      <c r="D66" s="51">
        <f>DEP!N53</f>
        <v>10196.419999999998</v>
      </c>
      <c r="E66" s="51">
        <v>0</v>
      </c>
      <c r="F66" s="51">
        <f>'BSC (Dome)'!N56</f>
        <v>6622.1999999999989</v>
      </c>
      <c r="G66" s="51">
        <v>0</v>
      </c>
      <c r="H66" s="51">
        <v>0</v>
      </c>
      <c r="I66" s="51">
        <f t="shared" si="7"/>
        <v>46228.679999999993</v>
      </c>
      <c r="L66" s="62"/>
    </row>
    <row r="67" spans="1:12" s="60" customFormat="1" ht="42.75" customHeight="1" x14ac:dyDescent="0.6">
      <c r="A67" s="50" t="s">
        <v>249</v>
      </c>
      <c r="B67" s="53">
        <f t="shared" ref="B67:H67" si="8">SUM(B45:B66)</f>
        <v>2710536.9899999993</v>
      </c>
      <c r="C67" s="53">
        <f t="shared" si="8"/>
        <v>106689.88</v>
      </c>
      <c r="D67" s="53">
        <f t="shared" si="8"/>
        <v>1160003.8799999999</v>
      </c>
      <c r="E67" s="53">
        <f t="shared" si="8"/>
        <v>109</v>
      </c>
      <c r="F67" s="53">
        <f t="shared" si="8"/>
        <v>303827.08</v>
      </c>
      <c r="G67" s="53">
        <f t="shared" si="8"/>
        <v>111533.19000000003</v>
      </c>
      <c r="H67" s="53">
        <f t="shared" si="8"/>
        <v>177353.96000000002</v>
      </c>
      <c r="I67" s="53">
        <f t="shared" si="7"/>
        <v>4570053.9799999995</v>
      </c>
      <c r="L67" s="62"/>
    </row>
    <row r="68" spans="1:12" s="60" customFormat="1" ht="42.75" customHeight="1" x14ac:dyDescent="0.6">
      <c r="A68" s="44"/>
      <c r="B68" s="51"/>
      <c r="C68" s="51"/>
      <c r="D68" s="51"/>
      <c r="E68" s="51"/>
      <c r="F68" s="51"/>
      <c r="G68" s="51"/>
      <c r="H68" s="51"/>
      <c r="I68" s="51">
        <f>SUM(B68:F68)</f>
        <v>0</v>
      </c>
      <c r="L68" s="62"/>
    </row>
    <row r="69" spans="1:12" s="60" customFormat="1" ht="42.75" customHeight="1" x14ac:dyDescent="0.6">
      <c r="A69" s="50" t="s">
        <v>250</v>
      </c>
      <c r="B69" s="51"/>
      <c r="C69" s="51"/>
      <c r="D69" s="51"/>
      <c r="E69" s="51"/>
      <c r="F69" s="51"/>
      <c r="G69" s="51"/>
      <c r="H69" s="51"/>
      <c r="I69" s="51">
        <f>SUM(B69:F69)</f>
        <v>0</v>
      </c>
      <c r="L69" s="62"/>
    </row>
    <row r="70" spans="1:12" s="60" customFormat="1" ht="42.75" customHeight="1" x14ac:dyDescent="0.6">
      <c r="A70" s="44" t="s">
        <v>251</v>
      </c>
      <c r="B70" s="51">
        <f>'Comp YTD 2018-2017 Dec'!B79</f>
        <v>10702.03</v>
      </c>
      <c r="C70" s="51">
        <v>0</v>
      </c>
      <c r="D70" s="51">
        <f>DEP!N57</f>
        <v>1830.05</v>
      </c>
      <c r="E70" s="51">
        <v>0</v>
      </c>
      <c r="F70" s="51">
        <f>'BSC (Dome)'!N60</f>
        <v>3730.92</v>
      </c>
      <c r="G70" s="51">
        <v>0</v>
      </c>
      <c r="H70" s="51">
        <v>0</v>
      </c>
      <c r="I70" s="51">
        <f t="shared" ref="I70:I90" si="9">SUM(B70:H70)</f>
        <v>16263</v>
      </c>
      <c r="L70" s="62"/>
    </row>
    <row r="71" spans="1:12" s="60" customFormat="1" ht="42.75" customHeight="1" x14ac:dyDescent="0.6">
      <c r="A71" s="44" t="s">
        <v>391</v>
      </c>
      <c r="B71" s="51">
        <f>'Comp YTD 2018-2017 Dec'!B80</f>
        <v>4500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f t="shared" si="9"/>
        <v>4500</v>
      </c>
      <c r="L71" s="62"/>
    </row>
    <row r="72" spans="1:12" s="60" customFormat="1" ht="42.75" customHeight="1" x14ac:dyDescent="0.6">
      <c r="A72" s="44" t="s">
        <v>547</v>
      </c>
      <c r="B72" s="51">
        <v>0</v>
      </c>
      <c r="C72" s="51">
        <v>0</v>
      </c>
      <c r="D72" s="51">
        <v>0</v>
      </c>
      <c r="E72" s="51">
        <f>Lending!N9</f>
        <v>4281.26</v>
      </c>
      <c r="F72" s="51">
        <v>0</v>
      </c>
      <c r="G72" s="51">
        <v>0</v>
      </c>
      <c r="H72" s="51">
        <v>0</v>
      </c>
      <c r="I72" s="51">
        <f t="shared" si="9"/>
        <v>4281.26</v>
      </c>
      <c r="L72" s="62"/>
    </row>
    <row r="73" spans="1:12" s="60" customFormat="1" ht="42.75" customHeight="1" x14ac:dyDescent="0.6">
      <c r="A73" s="44" t="s">
        <v>252</v>
      </c>
      <c r="B73" s="51">
        <f>'Comp YTD 2018-2017 Dec'!B82</f>
        <v>123365.15</v>
      </c>
      <c r="C73" s="51">
        <f>BPM!N59</f>
        <v>9986.6</v>
      </c>
      <c r="D73" s="51">
        <f>DEP!N58</f>
        <v>8752.2300000000014</v>
      </c>
      <c r="E73" s="51">
        <f>Lending!N10</f>
        <v>2418.9900000000002</v>
      </c>
      <c r="F73" s="51">
        <f>'BSC (Dome)'!N61</f>
        <v>3439.0699999999993</v>
      </c>
      <c r="G73" s="51">
        <v>0</v>
      </c>
      <c r="H73" s="51">
        <f>'722 Bedford St'!N16</f>
        <v>955.25000000000011</v>
      </c>
      <c r="I73" s="51">
        <f t="shared" si="9"/>
        <v>148917.29</v>
      </c>
      <c r="L73" s="62"/>
    </row>
    <row r="74" spans="1:12" s="60" customFormat="1" ht="42.75" customHeight="1" x14ac:dyDescent="0.6">
      <c r="A74" s="44" t="s">
        <v>363</v>
      </c>
      <c r="B74" s="51">
        <f>'Comp YTD 2018-2017 Dec'!B83</f>
        <v>0</v>
      </c>
      <c r="C74" s="51">
        <v>0</v>
      </c>
      <c r="D74" s="51">
        <v>0</v>
      </c>
      <c r="E74" s="51">
        <v>0</v>
      </c>
      <c r="F74" s="51">
        <f>'BSC (Dome)'!N62</f>
        <v>4784.8900000000003</v>
      </c>
      <c r="G74" s="51">
        <v>0</v>
      </c>
      <c r="H74" s="51">
        <v>0</v>
      </c>
      <c r="I74" s="51">
        <f t="shared" si="9"/>
        <v>4784.8900000000003</v>
      </c>
      <c r="L74" s="62"/>
    </row>
    <row r="75" spans="1:12" s="60" customFormat="1" ht="42.75" customHeight="1" x14ac:dyDescent="0.6">
      <c r="A75" s="44" t="s">
        <v>253</v>
      </c>
      <c r="B75" s="51">
        <f>'Comp YTD 2018-2017 Dec'!B84</f>
        <v>4790.21</v>
      </c>
      <c r="C75" s="51">
        <v>0</v>
      </c>
      <c r="D75" s="51">
        <f>DEP!N68</f>
        <v>9232.57</v>
      </c>
      <c r="E75" s="51">
        <v>0</v>
      </c>
      <c r="F75" s="51">
        <f>'BSC (Dome)'!N66</f>
        <v>1068.2</v>
      </c>
      <c r="G75" s="51">
        <v>0</v>
      </c>
      <c r="H75" s="51">
        <v>0</v>
      </c>
      <c r="I75" s="51">
        <f t="shared" si="9"/>
        <v>15090.98</v>
      </c>
      <c r="L75" s="62"/>
    </row>
    <row r="76" spans="1:12" s="60" customFormat="1" ht="42.75" customHeight="1" x14ac:dyDescent="0.6">
      <c r="A76" s="44" t="s">
        <v>360</v>
      </c>
      <c r="B76" s="51">
        <f>'Comp YTD 2018-2017 Dec'!B85</f>
        <v>349999.99000000005</v>
      </c>
      <c r="C76" s="51">
        <f>BPM!N64</f>
        <v>12091.89</v>
      </c>
      <c r="D76" s="51">
        <f>DEP!N62</f>
        <v>50400</v>
      </c>
      <c r="E76" s="51">
        <v>0</v>
      </c>
      <c r="F76" s="51">
        <f>'BSC (Dome)'!N67</f>
        <v>5375</v>
      </c>
      <c r="G76" s="51">
        <f>'Oliari Co.'!N15</f>
        <v>3445</v>
      </c>
      <c r="H76" s="51">
        <f>'722 Bedford St'!N15</f>
        <v>2550</v>
      </c>
      <c r="I76" s="51">
        <f t="shared" si="9"/>
        <v>423861.88000000006</v>
      </c>
      <c r="L76" s="62"/>
    </row>
    <row r="77" spans="1:12" s="60" customFormat="1" ht="42.75" customHeight="1" x14ac:dyDescent="0.6">
      <c r="A77" s="44" t="s">
        <v>361</v>
      </c>
      <c r="B77" s="51">
        <f>'Comp YTD 2018-2017 Dec'!B86</f>
        <v>90500</v>
      </c>
      <c r="C77" s="51">
        <f>BPM!N65</f>
        <v>45060.1</v>
      </c>
      <c r="D77" s="51">
        <f>DEP!N63</f>
        <v>27000</v>
      </c>
      <c r="E77" s="51">
        <f>Lending!N12</f>
        <v>22500</v>
      </c>
      <c r="F77" s="51">
        <f>'BSC (Dome)'!N68</f>
        <v>18000</v>
      </c>
      <c r="G77" s="51">
        <v>0</v>
      </c>
      <c r="H77" s="51">
        <v>0</v>
      </c>
      <c r="I77" s="51">
        <f t="shared" si="9"/>
        <v>203060.1</v>
      </c>
      <c r="L77" s="62"/>
    </row>
    <row r="78" spans="1:12" s="60" customFormat="1" ht="42.75" customHeight="1" x14ac:dyDescent="0.6">
      <c r="A78" s="44" t="s">
        <v>362</v>
      </c>
      <c r="B78" s="51">
        <f>'Comp YTD 2018-2017 Dec'!B87</f>
        <v>83381.570000000007</v>
      </c>
      <c r="C78" s="51">
        <f>BPM!N63</f>
        <v>7527.0700000000006</v>
      </c>
      <c r="D78" s="51">
        <f>DEP!N61</f>
        <v>16848.52</v>
      </c>
      <c r="E78" s="51">
        <f>Lending!N13</f>
        <v>2575.0000000000005</v>
      </c>
      <c r="F78" s="51">
        <v>0</v>
      </c>
      <c r="G78" s="51">
        <v>0</v>
      </c>
      <c r="H78" s="51">
        <v>0</v>
      </c>
      <c r="I78" s="51">
        <f t="shared" si="9"/>
        <v>110332.16000000002</v>
      </c>
      <c r="L78" s="62"/>
    </row>
    <row r="79" spans="1:12" s="60" customFormat="1" ht="42.75" customHeight="1" x14ac:dyDescent="0.6">
      <c r="A79" s="44" t="s">
        <v>400</v>
      </c>
      <c r="B79" s="51">
        <f>'Comp YTD 2018-2017 Dec'!B88</f>
        <v>33743.360000000001</v>
      </c>
      <c r="C79" s="51">
        <f>BPM!N66</f>
        <v>5191.34</v>
      </c>
      <c r="D79" s="51">
        <f>DEP!N65</f>
        <v>12978.179999999997</v>
      </c>
      <c r="E79" s="51">
        <v>0</v>
      </c>
      <c r="F79" s="51">
        <v>0</v>
      </c>
      <c r="G79" s="51">
        <v>0</v>
      </c>
      <c r="H79" s="51">
        <v>0</v>
      </c>
      <c r="I79" s="51">
        <f t="shared" si="9"/>
        <v>51912.87999999999</v>
      </c>
      <c r="L79" s="62"/>
    </row>
    <row r="80" spans="1:12" s="60" customFormat="1" ht="42.75" customHeight="1" x14ac:dyDescent="0.6">
      <c r="A80" s="44" t="s">
        <v>389</v>
      </c>
      <c r="B80" s="51">
        <f>'Comp YTD 2018-2017 Dec'!B89</f>
        <v>0</v>
      </c>
      <c r="C80" s="51">
        <v>0</v>
      </c>
      <c r="D80" s="51">
        <f>DEP!N64</f>
        <v>8625.0299999999988</v>
      </c>
      <c r="E80" s="51">
        <v>0</v>
      </c>
      <c r="F80" s="51">
        <v>0</v>
      </c>
      <c r="G80" s="51">
        <v>0</v>
      </c>
      <c r="H80" s="51">
        <v>0</v>
      </c>
      <c r="I80" s="51">
        <f t="shared" si="9"/>
        <v>8625.0299999999988</v>
      </c>
      <c r="L80" s="62"/>
    </row>
    <row r="81" spans="1:12" s="60" customFormat="1" ht="42.75" customHeight="1" x14ac:dyDescent="0.6">
      <c r="A81" s="44" t="s">
        <v>255</v>
      </c>
      <c r="B81" s="51">
        <f>'Comp YTD 2018-2017 Dec'!B90</f>
        <v>25030.730000000003</v>
      </c>
      <c r="C81" s="51">
        <v>0</v>
      </c>
      <c r="D81" s="51">
        <f>DEP!N60</f>
        <v>62543.58</v>
      </c>
      <c r="E81" s="51">
        <v>0</v>
      </c>
      <c r="F81" s="51">
        <f>'BSC (Dome)'!N64</f>
        <v>1726.5299999999995</v>
      </c>
      <c r="G81" s="51">
        <v>0</v>
      </c>
      <c r="H81" s="51">
        <v>0</v>
      </c>
      <c r="I81" s="51">
        <f t="shared" si="9"/>
        <v>89300.84</v>
      </c>
      <c r="L81" s="62"/>
    </row>
    <row r="82" spans="1:12" s="60" customFormat="1" ht="42.75" customHeight="1" x14ac:dyDescent="0.6">
      <c r="A82" s="44" t="s">
        <v>256</v>
      </c>
      <c r="B82" s="51">
        <f>'Comp YTD 2018-2017 Dec'!B91</f>
        <v>32845.799999999996</v>
      </c>
      <c r="C82" s="51">
        <f>BPM!N60</f>
        <v>912.49</v>
      </c>
      <c r="D82" s="51">
        <f>DEP!N70</f>
        <v>2477.5</v>
      </c>
      <c r="E82" s="51">
        <v>0</v>
      </c>
      <c r="F82" s="51">
        <f>'BSC (Dome)'!N70</f>
        <v>642</v>
      </c>
      <c r="G82" s="51">
        <v>0</v>
      </c>
      <c r="H82" s="51">
        <v>0</v>
      </c>
      <c r="I82" s="51">
        <f t="shared" si="9"/>
        <v>36877.789999999994</v>
      </c>
      <c r="L82" s="62"/>
    </row>
    <row r="83" spans="1:12" s="60" customFormat="1" ht="42.75" customHeight="1" x14ac:dyDescent="0.6">
      <c r="A83" s="44" t="s">
        <v>257</v>
      </c>
      <c r="B83" s="51">
        <f>'Comp YTD 2018-2017 Dec'!B92</f>
        <v>25853.820000000003</v>
      </c>
      <c r="C83" s="51">
        <f>0</f>
        <v>0</v>
      </c>
      <c r="D83" s="51">
        <f>DEP!N67</f>
        <v>8660.34</v>
      </c>
      <c r="E83" s="51">
        <v>0</v>
      </c>
      <c r="F83" s="51">
        <v>0</v>
      </c>
      <c r="G83" s="51">
        <v>0</v>
      </c>
      <c r="H83" s="51">
        <v>0</v>
      </c>
      <c r="I83" s="51">
        <f t="shared" si="9"/>
        <v>34514.160000000003</v>
      </c>
      <c r="L83" s="62"/>
    </row>
    <row r="84" spans="1:12" s="60" customFormat="1" ht="42.75" customHeight="1" x14ac:dyDescent="0.6">
      <c r="A84" s="44" t="s">
        <v>294</v>
      </c>
      <c r="B84" s="51">
        <f>'Comp YTD 2018-2017 Dec'!B93</f>
        <v>543.67999999999995</v>
      </c>
      <c r="C84" s="51">
        <f>0</f>
        <v>0</v>
      </c>
      <c r="D84" s="51">
        <f>DEP!N59</f>
        <v>5310.59</v>
      </c>
      <c r="E84" s="51">
        <v>0</v>
      </c>
      <c r="F84" s="51">
        <f>'BSC (Dome)'!N63</f>
        <v>2600</v>
      </c>
      <c r="G84" s="51">
        <v>0</v>
      </c>
      <c r="H84" s="51">
        <v>0</v>
      </c>
      <c r="I84" s="51">
        <f t="shared" si="9"/>
        <v>8454.27</v>
      </c>
      <c r="L84" s="62"/>
    </row>
    <row r="85" spans="1:12" s="60" customFormat="1" ht="42.75" customHeight="1" x14ac:dyDescent="0.6">
      <c r="A85" s="44" t="s">
        <v>377</v>
      </c>
      <c r="B85" s="51">
        <f>'Comp YTD 2018-2017 Dec'!B94</f>
        <v>6678.97</v>
      </c>
      <c r="C85" s="51">
        <v>0</v>
      </c>
      <c r="D85" s="51">
        <v>0</v>
      </c>
      <c r="E85" s="51">
        <v>0</v>
      </c>
      <c r="F85" s="51">
        <f>'BSC (Dome)'!N65</f>
        <v>14027.4</v>
      </c>
      <c r="G85" s="51">
        <v>0</v>
      </c>
      <c r="H85" s="51">
        <v>0</v>
      </c>
      <c r="I85" s="51">
        <f t="shared" si="9"/>
        <v>20706.37</v>
      </c>
      <c r="L85" s="62"/>
    </row>
    <row r="86" spans="1:12" s="60" customFormat="1" ht="42.75" customHeight="1" x14ac:dyDescent="0.6">
      <c r="A86" s="44" t="s">
        <v>258</v>
      </c>
      <c r="B86" s="51">
        <f>'Comp YTD 2018-2017 Dec'!B95</f>
        <v>15312.279999999999</v>
      </c>
      <c r="C86" s="51">
        <f>BPM!N69</f>
        <v>7140.03</v>
      </c>
      <c r="D86" s="51">
        <f>DEP!N66</f>
        <v>6690.94</v>
      </c>
      <c r="E86" s="51">
        <v>0</v>
      </c>
      <c r="F86" s="51">
        <v>0</v>
      </c>
      <c r="G86" s="51">
        <v>0</v>
      </c>
      <c r="H86" s="51">
        <v>0</v>
      </c>
      <c r="I86" s="51">
        <f t="shared" si="9"/>
        <v>29143.249999999996</v>
      </c>
      <c r="L86" s="62"/>
    </row>
    <row r="87" spans="1:12" s="60" customFormat="1" ht="42.75" customHeight="1" x14ac:dyDescent="0.6">
      <c r="A87" s="44" t="s">
        <v>259</v>
      </c>
      <c r="B87" s="51">
        <f>'Comp YTD 2018-2017 Dec'!B96</f>
        <v>20401.87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f t="shared" si="9"/>
        <v>20401.87</v>
      </c>
      <c r="L87" s="62"/>
    </row>
    <row r="88" spans="1:12" s="60" customFormat="1" ht="42.75" customHeight="1" x14ac:dyDescent="0.6">
      <c r="A88" s="44" t="s">
        <v>260</v>
      </c>
      <c r="B88" s="51">
        <f>'Comp YTD 2018-2017 Dec'!B97</f>
        <v>5621.29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f t="shared" si="9"/>
        <v>5621.29</v>
      </c>
      <c r="L88" s="62"/>
    </row>
    <row r="89" spans="1:12" s="60" customFormat="1" ht="42.75" customHeight="1" x14ac:dyDescent="0.6">
      <c r="A89" s="44" t="s">
        <v>261</v>
      </c>
      <c r="B89" s="51">
        <f>'Comp YTD 2018-2017 Dec'!B98</f>
        <v>23199.160000000003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f t="shared" si="9"/>
        <v>23199.160000000003</v>
      </c>
      <c r="L89" s="62"/>
    </row>
    <row r="90" spans="1:12" s="60" customFormat="1" ht="42.75" customHeight="1" x14ac:dyDescent="0.6">
      <c r="A90" s="50" t="s">
        <v>263</v>
      </c>
      <c r="B90" s="53">
        <f>SUM(B70:B89)</f>
        <v>856469.91</v>
      </c>
      <c r="C90" s="53">
        <f t="shared" ref="C90:H90" si="10">SUM(C70:C89)</f>
        <v>87909.52</v>
      </c>
      <c r="D90" s="53">
        <f t="shared" si="10"/>
        <v>221349.53000000003</v>
      </c>
      <c r="E90" s="53">
        <f t="shared" si="10"/>
        <v>31775.25</v>
      </c>
      <c r="F90" s="53">
        <f t="shared" si="10"/>
        <v>55394.01</v>
      </c>
      <c r="G90" s="53">
        <f t="shared" si="10"/>
        <v>3445</v>
      </c>
      <c r="H90" s="53">
        <f t="shared" si="10"/>
        <v>3505.25</v>
      </c>
      <c r="I90" s="53">
        <f t="shared" si="9"/>
        <v>1259848.47</v>
      </c>
      <c r="L90" s="62"/>
    </row>
    <row r="91" spans="1:12" s="60" customFormat="1" ht="42.75" customHeight="1" x14ac:dyDescent="0.6">
      <c r="A91" s="44"/>
      <c r="B91" s="51"/>
      <c r="C91" s="51"/>
      <c r="D91" s="51"/>
      <c r="E91" s="51"/>
      <c r="F91" s="51"/>
      <c r="G91" s="51"/>
      <c r="H91" s="51"/>
      <c r="I91" s="51">
        <f>SUM(B91:F91)</f>
        <v>0</v>
      </c>
      <c r="L91" s="62"/>
    </row>
    <row r="92" spans="1:12" s="60" customFormat="1" ht="42.75" customHeight="1" thickBot="1" x14ac:dyDescent="0.65">
      <c r="A92" s="50" t="s">
        <v>264</v>
      </c>
      <c r="B92" s="56">
        <f t="shared" ref="B92:H92" si="11">B42+B67+B90</f>
        <v>6816947.0199999996</v>
      </c>
      <c r="C92" s="56">
        <f t="shared" si="11"/>
        <v>1021978.9999999999</v>
      </c>
      <c r="D92" s="56">
        <f t="shared" si="11"/>
        <v>2440886.9500000002</v>
      </c>
      <c r="E92" s="56">
        <f t="shared" si="11"/>
        <v>31884.25</v>
      </c>
      <c r="F92" s="56">
        <f t="shared" si="11"/>
        <v>771903.3</v>
      </c>
      <c r="G92" s="56">
        <f t="shared" si="11"/>
        <v>114978.19000000003</v>
      </c>
      <c r="H92" s="56">
        <f t="shared" si="11"/>
        <v>180859.21000000002</v>
      </c>
      <c r="I92" s="56">
        <f>SUM(B92:H92)</f>
        <v>11379437.92</v>
      </c>
      <c r="L92" s="62"/>
    </row>
    <row r="93" spans="1:12" s="60" customFormat="1" ht="42.75" customHeight="1" x14ac:dyDescent="0.6">
      <c r="A93" s="44"/>
      <c r="B93" s="51"/>
      <c r="C93" s="51"/>
      <c r="D93" s="51"/>
      <c r="E93" s="51"/>
      <c r="F93" s="51"/>
      <c r="G93" s="51"/>
      <c r="H93" s="51"/>
      <c r="I93" s="51"/>
      <c r="L93" s="62"/>
    </row>
    <row r="94" spans="1:12" s="60" customFormat="1" ht="42.75" customHeight="1" x14ac:dyDescent="0.6">
      <c r="A94" s="50" t="s">
        <v>462</v>
      </c>
      <c r="B94" s="51"/>
      <c r="C94" s="51"/>
      <c r="D94" s="51"/>
      <c r="E94" s="51"/>
      <c r="F94" s="51"/>
      <c r="G94" s="51"/>
      <c r="H94" s="51"/>
      <c r="I94" s="51"/>
      <c r="L94" s="62"/>
    </row>
    <row r="95" spans="1:12" s="60" customFormat="1" ht="42.75" customHeight="1" x14ac:dyDescent="0.6">
      <c r="A95" s="44" t="s">
        <v>267</v>
      </c>
      <c r="B95" s="51">
        <f>'Comp YTD 2018-2017 Dec'!B104</f>
        <v>150000</v>
      </c>
      <c r="C95" s="51">
        <v>0</v>
      </c>
      <c r="D95" s="51">
        <f>DEP!N76</f>
        <v>150000</v>
      </c>
      <c r="E95" s="51">
        <v>0</v>
      </c>
      <c r="F95" s="51">
        <f>'BSC (Dome)'!N76+'BSC (Dome)'!N77</f>
        <v>65000</v>
      </c>
      <c r="G95" s="51">
        <f>'Oliari Co.'!N21+'Oliari Co.'!N22+'Oliari Co.'!N23</f>
        <v>272400</v>
      </c>
      <c r="H95" s="51">
        <f>'722 Bedford St'!N22+'722 Bedford St'!N23</f>
        <v>240000</v>
      </c>
      <c r="I95" s="51">
        <f t="shared" ref="I95:I107" si="12">SUM(B95:H95)</f>
        <v>877400</v>
      </c>
      <c r="L95" s="62"/>
    </row>
    <row r="96" spans="1:12" s="60" customFormat="1" ht="42.75" customHeight="1" x14ac:dyDescent="0.6">
      <c r="A96" s="44" t="s">
        <v>268</v>
      </c>
      <c r="B96" s="51">
        <f>'Comp YTD 2018-2017 Dec'!B105</f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f t="shared" si="12"/>
        <v>0</v>
      </c>
      <c r="L96" s="62"/>
    </row>
    <row r="97" spans="1:12" s="60" customFormat="1" ht="42.75" customHeight="1" x14ac:dyDescent="0.6">
      <c r="A97" s="44" t="s">
        <v>326</v>
      </c>
      <c r="B97" s="51">
        <f>'Comp YTD 2018-2017 Dec'!B106</f>
        <v>0</v>
      </c>
      <c r="C97" s="51">
        <f>-BPM!N73</f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f t="shared" si="12"/>
        <v>0</v>
      </c>
      <c r="L97" s="62"/>
    </row>
    <row r="98" spans="1:12" s="60" customFormat="1" ht="42.75" customHeight="1" x14ac:dyDescent="0.6">
      <c r="A98" s="44" t="s">
        <v>386</v>
      </c>
      <c r="B98" s="51">
        <f>'Comp YTD 2018-2017 Dec'!B107</f>
        <v>58198.46</v>
      </c>
      <c r="C98" s="51">
        <f>-BPM!N74</f>
        <v>-58198.46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f t="shared" si="12"/>
        <v>0</v>
      </c>
      <c r="L98" s="62"/>
    </row>
    <row r="99" spans="1:12" s="60" customFormat="1" ht="42.75" customHeight="1" x14ac:dyDescent="0.6">
      <c r="A99" s="44" t="s">
        <v>269</v>
      </c>
      <c r="B99" s="51">
        <f>'Comp YTD 2018-2017 Dec'!B108</f>
        <v>191985.05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f t="shared" si="12"/>
        <v>191985.05</v>
      </c>
      <c r="L99" s="62"/>
    </row>
    <row r="100" spans="1:12" s="60" customFormat="1" ht="42.75" customHeight="1" x14ac:dyDescent="0.6">
      <c r="A100" s="44" t="s">
        <v>270</v>
      </c>
      <c r="B100" s="51">
        <f>'Comp YTD 2018-2017 Dec'!B109</f>
        <v>288235.61</v>
      </c>
      <c r="C100" s="51">
        <f>-BPM!N75</f>
        <v>13994.72</v>
      </c>
      <c r="D100" s="51">
        <f>DEP!N77</f>
        <v>34785.49</v>
      </c>
      <c r="E100" s="51">
        <f>Lending!N17</f>
        <v>51929.259999999995</v>
      </c>
      <c r="F100" s="51">
        <v>0</v>
      </c>
      <c r="G100" s="51">
        <f>'Oliari Co.'!N25</f>
        <v>43677.48</v>
      </c>
      <c r="H100" s="51">
        <v>0</v>
      </c>
      <c r="I100" s="51">
        <f t="shared" si="12"/>
        <v>432622.55999999994</v>
      </c>
      <c r="L100" s="62"/>
    </row>
    <row r="101" spans="1:12" s="60" customFormat="1" ht="42.75" customHeight="1" x14ac:dyDescent="0.6">
      <c r="A101" s="44" t="s">
        <v>271</v>
      </c>
      <c r="B101" s="51">
        <f>'Comp YTD 2018-2017 Dec'!B110</f>
        <v>-183630.22999999998</v>
      </c>
      <c r="C101" s="51">
        <v>0</v>
      </c>
      <c r="D101" s="51">
        <v>0</v>
      </c>
      <c r="E101" s="51">
        <f>Lending!N18</f>
        <v>-5412.26</v>
      </c>
      <c r="F101" s="51">
        <f>'BSC (Dome)'!N79+'BSC (Dome)'!N80</f>
        <v>-115819.5</v>
      </c>
      <c r="G101" s="51">
        <f>'Oliari Co.'!N26</f>
        <v>-10331.160000000002</v>
      </c>
      <c r="H101" s="51">
        <f>'722 Bedford St'!N26</f>
        <v>-562.5</v>
      </c>
      <c r="I101" s="51">
        <f t="shared" si="12"/>
        <v>-315755.64999999997</v>
      </c>
      <c r="L101" s="62"/>
    </row>
    <row r="102" spans="1:12" s="60" customFormat="1" ht="42.75" customHeight="1" x14ac:dyDescent="0.6">
      <c r="A102" s="44" t="s">
        <v>272</v>
      </c>
      <c r="B102" s="51">
        <f>'Comp YTD 2018-2017 Dec'!B111</f>
        <v>947.26</v>
      </c>
      <c r="C102" s="51">
        <v>0</v>
      </c>
      <c r="D102" s="51">
        <v>0</v>
      </c>
      <c r="E102" s="51"/>
      <c r="F102" s="51">
        <f>'BSC (Dome)'!N78</f>
        <v>1912.98</v>
      </c>
      <c r="G102" s="51">
        <f>'Oliari Co.'!N24</f>
        <v>1.01</v>
      </c>
      <c r="H102" s="51">
        <v>0</v>
      </c>
      <c r="I102" s="51">
        <f t="shared" si="12"/>
        <v>2861.25</v>
      </c>
      <c r="L102" s="62"/>
    </row>
    <row r="103" spans="1:12" s="60" customFormat="1" ht="42.75" customHeight="1" x14ac:dyDescent="0.6">
      <c r="A103" s="44" t="s">
        <v>401</v>
      </c>
      <c r="B103" s="51">
        <f>'Comp YTD 2018-2017 Dec'!B112</f>
        <v>69833.579999999987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f t="shared" si="12"/>
        <v>69833.579999999987</v>
      </c>
      <c r="L103" s="62"/>
    </row>
    <row r="104" spans="1:12" s="60" customFormat="1" ht="42.75" customHeight="1" x14ac:dyDescent="0.6">
      <c r="A104" s="44" t="s">
        <v>438</v>
      </c>
      <c r="B104" s="51">
        <f>'Comp YTD 2018-2017 Dec'!B113</f>
        <v>7234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f t="shared" si="12"/>
        <v>7234</v>
      </c>
      <c r="L104" s="62"/>
    </row>
    <row r="105" spans="1:12" s="60" customFormat="1" ht="42.75" customHeight="1" x14ac:dyDescent="0.6">
      <c r="A105" s="44" t="s">
        <v>439</v>
      </c>
      <c r="B105" s="51">
        <f>'Comp YTD 2018-2017 Dec'!B114</f>
        <v>60891.66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f t="shared" si="12"/>
        <v>60891.66</v>
      </c>
      <c r="L105" s="62"/>
    </row>
    <row r="106" spans="1:12" s="60" customFormat="1" ht="42.75" customHeight="1" x14ac:dyDescent="0.6">
      <c r="A106" s="44" t="s">
        <v>402</v>
      </c>
      <c r="B106" s="51">
        <f>'Comp YTD 2018-2017 Dec'!B115</f>
        <v>30121.660000000003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f t="shared" si="12"/>
        <v>30121.660000000003</v>
      </c>
      <c r="L106" s="62"/>
    </row>
    <row r="107" spans="1:12" s="60" customFormat="1" ht="42.75" customHeight="1" x14ac:dyDescent="0.6">
      <c r="A107" s="44" t="s">
        <v>449</v>
      </c>
      <c r="B107" s="51">
        <f>'Comp YTD 2018-2017 Dec'!B117</f>
        <v>16988.28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f t="shared" si="12"/>
        <v>16988.28</v>
      </c>
      <c r="L107" s="62"/>
    </row>
    <row r="108" spans="1:12" s="60" customFormat="1" ht="42.75" customHeight="1" x14ac:dyDescent="0.6">
      <c r="A108" s="50" t="s">
        <v>463</v>
      </c>
      <c r="B108" s="53">
        <f t="shared" ref="B108:I108" si="13">SUM(B95:B107)</f>
        <v>690805.33000000007</v>
      </c>
      <c r="C108" s="53">
        <f t="shared" si="13"/>
        <v>-44203.74</v>
      </c>
      <c r="D108" s="53">
        <f t="shared" si="13"/>
        <v>184785.49</v>
      </c>
      <c r="E108" s="53">
        <f t="shared" si="13"/>
        <v>46516.999999999993</v>
      </c>
      <c r="F108" s="53">
        <f t="shared" si="13"/>
        <v>-48906.52</v>
      </c>
      <c r="G108" s="53">
        <f t="shared" si="13"/>
        <v>305747.33</v>
      </c>
      <c r="H108" s="53">
        <f t="shared" si="13"/>
        <v>239437.5</v>
      </c>
      <c r="I108" s="53">
        <f t="shared" si="13"/>
        <v>1374182.39</v>
      </c>
      <c r="L108" s="62"/>
    </row>
    <row r="109" spans="1:12" s="60" customFormat="1" ht="42.75" customHeight="1" x14ac:dyDescent="0.6">
      <c r="A109" s="50"/>
      <c r="B109" s="51"/>
      <c r="C109" s="51"/>
      <c r="D109" s="51"/>
      <c r="E109" s="51"/>
      <c r="F109" s="51"/>
      <c r="G109" s="51"/>
      <c r="H109" s="51"/>
      <c r="I109" s="51">
        <f>SUM(B109:F109)</f>
        <v>0</v>
      </c>
      <c r="L109" s="62"/>
    </row>
    <row r="110" spans="1:12" s="60" customFormat="1" ht="42.75" customHeight="1" thickBot="1" x14ac:dyDescent="0.65">
      <c r="A110" s="50" t="s">
        <v>266</v>
      </c>
      <c r="B110" s="59">
        <f t="shared" ref="B110:H110" si="14">B27-B92+B108</f>
        <v>-570607.75999874063</v>
      </c>
      <c r="C110" s="59">
        <f t="shared" si="14"/>
        <v>218466.90000001562</v>
      </c>
      <c r="D110" s="59">
        <f t="shared" si="14"/>
        <v>844796.71999999951</v>
      </c>
      <c r="E110" s="59">
        <f t="shared" si="14"/>
        <v>14632.749999999993</v>
      </c>
      <c r="F110" s="59">
        <f t="shared" si="14"/>
        <v>-29868.689999999922</v>
      </c>
      <c r="G110" s="59">
        <f t="shared" si="14"/>
        <v>190769.13999999998</v>
      </c>
      <c r="H110" s="59">
        <f t="shared" si="14"/>
        <v>58578.289999999979</v>
      </c>
      <c r="I110" s="59">
        <f>SUM(B110:H110)</f>
        <v>726767.35000127461</v>
      </c>
      <c r="L110" s="62"/>
    </row>
    <row r="111" spans="1:12" ht="15" thickTop="1" x14ac:dyDescent="0.3">
      <c r="B111" s="42"/>
      <c r="C111" s="42"/>
      <c r="D111" s="42"/>
      <c r="E111" s="42"/>
      <c r="F111" s="42"/>
      <c r="G111" s="42"/>
      <c r="H111" s="42"/>
      <c r="I111" s="42"/>
    </row>
    <row r="113" spans="1:9" ht="31.2" x14ac:dyDescent="0.6">
      <c r="A113" t="s">
        <v>331</v>
      </c>
      <c r="B113" s="51">
        <f>CNT!N287</f>
        <v>-570607.76000017207</v>
      </c>
      <c r="C113" s="51">
        <f>BPM!N80</f>
        <v>218466.90000000084</v>
      </c>
      <c r="D113" s="51">
        <f>DEP!N82</f>
        <v>844796.72</v>
      </c>
      <c r="E113" s="51">
        <f>Lending!N21</f>
        <v>14632.749999999993</v>
      </c>
      <c r="F113" s="51">
        <f>'BSC (Dome)'!N85</f>
        <v>-29868.69</v>
      </c>
      <c r="G113" s="51">
        <f>'Oliari Co.'!N29</f>
        <v>190769.13999999998</v>
      </c>
      <c r="H113" s="51">
        <f>'722 Bedford St'!N29</f>
        <v>58578.289999999979</v>
      </c>
      <c r="I113" s="35">
        <f>SUM(B113:H113)</f>
        <v>726767.34999982873</v>
      </c>
    </row>
    <row r="114" spans="1:9" x14ac:dyDescent="0.3">
      <c r="B114" s="35">
        <f t="shared" ref="B114:H114" si="15">B110-B113</f>
        <v>1.4314427971839905E-6</v>
      </c>
      <c r="C114" s="35">
        <f t="shared" si="15"/>
        <v>1.4784745872020721E-8</v>
      </c>
      <c r="D114" s="35">
        <f t="shared" si="15"/>
        <v>0</v>
      </c>
      <c r="E114" s="35">
        <f t="shared" si="15"/>
        <v>0</v>
      </c>
      <c r="F114" s="35">
        <f t="shared" si="15"/>
        <v>7.6397554948925972E-11</v>
      </c>
      <c r="G114" s="35">
        <f t="shared" si="15"/>
        <v>0</v>
      </c>
      <c r="H114" s="35">
        <f t="shared" si="15"/>
        <v>0</v>
      </c>
      <c r="I114" s="35">
        <f>I110-I113</f>
        <v>1.4458782970905304E-6</v>
      </c>
    </row>
    <row r="115" spans="1:9" x14ac:dyDescent="0.3">
      <c r="B115" s="35"/>
      <c r="C115" s="35"/>
      <c r="D115" s="35"/>
      <c r="E115" s="35"/>
      <c r="I115" s="42"/>
    </row>
    <row r="116" spans="1:9" x14ac:dyDescent="0.3">
      <c r="B116" s="35"/>
      <c r="C116" s="35"/>
      <c r="D116" s="35"/>
      <c r="E116" s="35"/>
    </row>
    <row r="117" spans="1:9" x14ac:dyDescent="0.3">
      <c r="B117" s="35"/>
      <c r="C117" s="35"/>
      <c r="D117" s="35"/>
      <c r="E117" s="35"/>
    </row>
    <row r="118" spans="1:9" x14ac:dyDescent="0.3">
      <c r="B118" s="35"/>
      <c r="C118" s="35"/>
      <c r="D118" s="35"/>
      <c r="E118" s="35"/>
    </row>
    <row r="119" spans="1:9" x14ac:dyDescent="0.3">
      <c r="B119" s="35"/>
      <c r="C119" s="35"/>
      <c r="D119" s="35"/>
      <c r="E119" s="35"/>
    </row>
    <row r="120" spans="1:9" x14ac:dyDescent="0.3">
      <c r="B120" s="35"/>
      <c r="C120" s="35"/>
      <c r="D120" s="35"/>
      <c r="E120" s="3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25" activePane="bottomLeft" state="frozen"/>
      <selection activeCell="C20" sqref="C20"/>
      <selection pane="bottomLeft" activeCell="C41" sqref="C41"/>
    </sheetView>
  </sheetViews>
  <sheetFormatPr defaultRowHeight="14.4" x14ac:dyDescent="0.3"/>
  <cols>
    <col min="1" max="1" width="82.44140625" bestFit="1" customWidth="1"/>
    <col min="2" max="2" width="39.44140625" bestFit="1" customWidth="1"/>
    <col min="3" max="3" width="33.33203125" bestFit="1" customWidth="1"/>
    <col min="4" max="4" width="29.5546875" bestFit="1" customWidth="1"/>
    <col min="5" max="5" width="24.44140625" bestFit="1" customWidth="1"/>
    <col min="6" max="6" width="27.5546875" bestFit="1" customWidth="1"/>
    <col min="7" max="8" width="26.109375" bestFit="1" customWidth="1"/>
    <col min="9" max="9" width="38.109375" bestFit="1" customWidth="1"/>
    <col min="10" max="10" width="11.44140625" customWidth="1"/>
    <col min="11" max="11" width="82.44140625" bestFit="1" customWidth="1"/>
    <col min="12" max="12" width="38.109375" bestFit="1" customWidth="1"/>
    <col min="13" max="13" width="33.33203125" bestFit="1" customWidth="1"/>
    <col min="14" max="14" width="29.5546875" bestFit="1" customWidth="1"/>
    <col min="15" max="15" width="24.6640625" customWidth="1"/>
    <col min="16" max="18" width="27" bestFit="1" customWidth="1"/>
    <col min="19" max="19" width="38.109375" bestFit="1" customWidth="1"/>
    <col min="20" max="20" width="11.33203125" customWidth="1"/>
    <col min="21" max="21" width="68" bestFit="1" customWidth="1"/>
    <col min="22" max="22" width="11.44140625" customWidth="1"/>
    <col min="23" max="23" width="39.44140625" bestFit="1" customWidth="1"/>
    <col min="24" max="24" width="11.44140625" customWidth="1"/>
    <col min="25" max="25" width="39.44140625" bestFit="1" customWidth="1"/>
    <col min="26" max="26" width="11.44140625" customWidth="1"/>
    <col min="27" max="27" width="39.44140625" style="35" bestFit="1" customWidth="1"/>
    <col min="28" max="28" width="4.33203125" style="35" customWidth="1"/>
    <col min="29" max="29" width="21.109375" style="36" bestFit="1" customWidth="1"/>
    <col min="30" max="30" width="4.33203125" style="35" customWidth="1"/>
    <col min="31" max="31" width="23" style="36" bestFit="1" customWidth="1"/>
  </cols>
  <sheetData>
    <row r="1" spans="1:31" ht="24.9" customHeight="1" x14ac:dyDescent="0.3">
      <c r="A1" s="143" t="s">
        <v>411</v>
      </c>
      <c r="B1" s="143"/>
      <c r="C1" s="143"/>
      <c r="D1" s="143"/>
      <c r="E1" s="143"/>
      <c r="F1" s="143"/>
      <c r="G1" s="143"/>
      <c r="H1" s="143"/>
      <c r="I1" s="143"/>
    </row>
    <row r="2" spans="1:31" ht="24.9" customHeight="1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31" ht="24.9" customHeight="1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31" ht="24.9" customHeight="1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31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31" ht="40.5" customHeight="1" x14ac:dyDescent="0.85">
      <c r="A6" s="144" t="s">
        <v>347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</row>
    <row r="7" spans="1:31" ht="40.5" customHeight="1" x14ac:dyDescent="0.85">
      <c r="A7" s="144" t="s">
        <v>538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</row>
    <row r="8" spans="1:31" ht="14.25" customHeight="1" thickBot="1" x14ac:dyDescent="0.35"/>
    <row r="9" spans="1:31" s="41" customFormat="1" ht="55.5" customHeight="1" x14ac:dyDescent="0.85">
      <c r="A9" s="145">
        <v>2018</v>
      </c>
      <c r="B9" s="146"/>
      <c r="C9" s="146"/>
      <c r="D9" s="146"/>
      <c r="E9" s="146"/>
      <c r="F9" s="146"/>
      <c r="G9" s="146"/>
      <c r="H9" s="146"/>
      <c r="I9" s="147"/>
      <c r="K9" s="145">
        <v>2017</v>
      </c>
      <c r="L9" s="146"/>
      <c r="M9" s="146"/>
      <c r="N9" s="146"/>
      <c r="O9" s="146"/>
      <c r="P9" s="146"/>
      <c r="Q9" s="146"/>
      <c r="R9" s="146"/>
      <c r="S9" s="147"/>
      <c r="T9" s="118"/>
      <c r="U9" s="148" t="s">
        <v>404</v>
      </c>
      <c r="V9" s="149"/>
      <c r="W9" s="149"/>
      <c r="X9" s="149"/>
      <c r="Y9" s="149"/>
      <c r="Z9" s="149"/>
      <c r="AA9" s="149"/>
      <c r="AB9" s="149"/>
      <c r="AC9" s="149"/>
      <c r="AD9" s="149"/>
      <c r="AE9" s="150"/>
    </row>
    <row r="10" spans="1:31" s="41" customFormat="1" ht="30" customHeight="1" x14ac:dyDescent="0.6">
      <c r="A10" s="137" t="s">
        <v>405</v>
      </c>
      <c r="B10" s="138"/>
      <c r="C10" s="138"/>
      <c r="D10" s="138"/>
      <c r="E10" s="138"/>
      <c r="F10" s="138"/>
      <c r="G10" s="138"/>
      <c r="H10" s="138"/>
      <c r="I10" s="139"/>
      <c r="K10" s="137" t="s">
        <v>405</v>
      </c>
      <c r="L10" s="138"/>
      <c r="M10" s="138"/>
      <c r="N10" s="138"/>
      <c r="O10" s="138"/>
      <c r="P10" s="138"/>
      <c r="Q10" s="138"/>
      <c r="R10" s="138"/>
      <c r="S10" s="139"/>
      <c r="T10" s="43"/>
      <c r="U10" s="151"/>
      <c r="V10" s="152"/>
      <c r="W10" s="152"/>
      <c r="X10" s="152"/>
      <c r="Y10" s="152"/>
      <c r="Z10" s="152"/>
      <c r="AA10" s="152"/>
      <c r="AB10" s="152"/>
      <c r="AC10" s="152"/>
      <c r="AD10" s="152"/>
      <c r="AE10" s="153"/>
    </row>
    <row r="11" spans="1:31" s="41" customFormat="1" ht="30" customHeight="1" x14ac:dyDescent="0.6">
      <c r="A11" s="137" t="s">
        <v>346</v>
      </c>
      <c r="B11" s="138"/>
      <c r="C11" s="138"/>
      <c r="D11" s="138"/>
      <c r="E11" s="138"/>
      <c r="F11" s="138"/>
      <c r="G11" s="138"/>
      <c r="H11" s="138"/>
      <c r="I11" s="139"/>
      <c r="K11" s="137" t="s">
        <v>346</v>
      </c>
      <c r="L11" s="138"/>
      <c r="M11" s="138"/>
      <c r="N11" s="138"/>
      <c r="O11" s="138"/>
      <c r="P11" s="138"/>
      <c r="Q11" s="138"/>
      <c r="R11" s="138"/>
      <c r="S11" s="139"/>
      <c r="T11" s="43"/>
      <c r="U11" s="151"/>
      <c r="V11" s="152"/>
      <c r="W11" s="152"/>
      <c r="X11" s="152"/>
      <c r="Y11" s="152"/>
      <c r="Z11" s="152"/>
      <c r="AA11" s="152"/>
      <c r="AB11" s="152"/>
      <c r="AC11" s="152"/>
      <c r="AD11" s="152"/>
      <c r="AE11" s="153"/>
    </row>
    <row r="12" spans="1:31" s="41" customFormat="1" ht="30" customHeight="1" thickBot="1" x14ac:dyDescent="0.65">
      <c r="A12" s="140">
        <v>43465</v>
      </c>
      <c r="B12" s="141"/>
      <c r="C12" s="141"/>
      <c r="D12" s="141"/>
      <c r="E12" s="141"/>
      <c r="F12" s="141"/>
      <c r="G12" s="141"/>
      <c r="H12" s="141"/>
      <c r="I12" s="142"/>
      <c r="K12" s="140">
        <v>43100</v>
      </c>
      <c r="L12" s="141"/>
      <c r="M12" s="141"/>
      <c r="N12" s="141"/>
      <c r="O12" s="141"/>
      <c r="P12" s="141"/>
      <c r="Q12" s="141"/>
      <c r="R12" s="141"/>
      <c r="S12" s="142"/>
      <c r="T12" s="43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6"/>
    </row>
    <row r="13" spans="1:31" s="44" customFormat="1" ht="24.75" customHeight="1" x14ac:dyDescent="0.6">
      <c r="A13" s="43"/>
      <c r="B13" s="43"/>
      <c r="C13" s="43"/>
      <c r="D13" s="43"/>
      <c r="E13" s="43"/>
      <c r="F13" s="43"/>
      <c r="G13" s="43"/>
      <c r="H13" s="43"/>
      <c r="I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W13" s="45"/>
      <c r="Y13" s="45"/>
      <c r="AA13" s="45"/>
      <c r="AB13" s="45"/>
      <c r="AC13" s="45"/>
      <c r="AD13" s="45"/>
      <c r="AE13" s="45"/>
    </row>
    <row r="14" spans="1:31" s="44" customFormat="1" ht="24.75" customHeight="1" x14ac:dyDescent="0.6">
      <c r="J14" s="43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3"/>
      <c r="W14" s="47"/>
      <c r="X14" s="43"/>
      <c r="Y14" s="47"/>
      <c r="Z14" s="43"/>
      <c r="AA14" s="47"/>
      <c r="AB14" s="47"/>
      <c r="AC14" s="48"/>
      <c r="AD14" s="47"/>
      <c r="AE14" s="48"/>
    </row>
    <row r="15" spans="1:31" s="44" customFormat="1" ht="24.75" customHeight="1" x14ac:dyDescent="0.6">
      <c r="J15" s="4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3"/>
      <c r="W15" s="47"/>
      <c r="X15" s="43"/>
      <c r="Y15" s="47"/>
      <c r="Z15" s="43"/>
      <c r="AA15" s="47"/>
      <c r="AB15" s="47"/>
      <c r="AC15" s="43" t="s">
        <v>340</v>
      </c>
      <c r="AD15" s="47"/>
      <c r="AE15" s="48"/>
    </row>
    <row r="16" spans="1:31" s="44" customFormat="1" ht="24.75" customHeight="1" x14ac:dyDescent="0.6">
      <c r="J16" s="43"/>
      <c r="V16" s="43"/>
      <c r="W16" s="43"/>
      <c r="X16" s="43"/>
      <c r="Y16" s="43"/>
      <c r="Z16" s="43"/>
      <c r="AA16" s="43" t="s">
        <v>340</v>
      </c>
      <c r="AB16" s="43"/>
      <c r="AC16" s="48" t="s">
        <v>343</v>
      </c>
      <c r="AD16" s="43"/>
      <c r="AE16" s="43" t="s">
        <v>342</v>
      </c>
    </row>
    <row r="17" spans="1:31" s="44" customFormat="1" ht="24.75" customHeight="1" x14ac:dyDescent="0.6">
      <c r="I17" s="43" t="s">
        <v>207</v>
      </c>
      <c r="J17" s="43"/>
      <c r="S17" s="43" t="s">
        <v>207</v>
      </c>
      <c r="T17" s="43"/>
      <c r="V17" s="43"/>
      <c r="W17" s="43">
        <v>2018</v>
      </c>
      <c r="X17" s="43"/>
      <c r="Y17" s="43">
        <v>2017</v>
      </c>
      <c r="Z17" s="43"/>
      <c r="AA17" s="43" t="s">
        <v>341</v>
      </c>
      <c r="AB17" s="43"/>
      <c r="AC17" s="43" t="s">
        <v>341</v>
      </c>
      <c r="AD17" s="43"/>
      <c r="AE17" s="43" t="s">
        <v>344</v>
      </c>
    </row>
    <row r="18" spans="1:31" s="44" customFormat="1" ht="24.75" customHeight="1" x14ac:dyDescent="0.6">
      <c r="B18" s="49" t="s">
        <v>212</v>
      </c>
      <c r="C18" s="49" t="s">
        <v>214</v>
      </c>
      <c r="D18" s="49" t="s">
        <v>213</v>
      </c>
      <c r="E18" s="49" t="s">
        <v>215</v>
      </c>
      <c r="F18" s="49" t="s">
        <v>216</v>
      </c>
      <c r="G18" s="49" t="s">
        <v>406</v>
      </c>
      <c r="H18" s="49" t="s">
        <v>418</v>
      </c>
      <c r="I18" s="49">
        <v>2018</v>
      </c>
      <c r="J18" s="43"/>
      <c r="L18" s="49" t="s">
        <v>212</v>
      </c>
      <c r="M18" s="49" t="s">
        <v>214</v>
      </c>
      <c r="N18" s="49" t="s">
        <v>213</v>
      </c>
      <c r="O18" s="49" t="s">
        <v>215</v>
      </c>
      <c r="P18" s="49" t="s">
        <v>216</v>
      </c>
      <c r="Q18" s="49" t="s">
        <v>406</v>
      </c>
      <c r="R18" s="49" t="s">
        <v>418</v>
      </c>
      <c r="S18" s="49">
        <v>2017</v>
      </c>
      <c r="T18" s="43"/>
      <c r="V18" s="43"/>
      <c r="W18" s="49"/>
      <c r="X18" s="43"/>
      <c r="Y18" s="49"/>
      <c r="Z18" s="43"/>
      <c r="AA18" s="49" t="s">
        <v>338</v>
      </c>
      <c r="AB18" s="43"/>
      <c r="AC18" s="49" t="s">
        <v>339</v>
      </c>
      <c r="AD18" s="49"/>
      <c r="AE18" s="49" t="s">
        <v>339</v>
      </c>
    </row>
    <row r="19" spans="1:31" s="44" customFormat="1" ht="30" customHeight="1" x14ac:dyDescent="0.6">
      <c r="A19" s="50" t="s">
        <v>62</v>
      </c>
      <c r="K19" s="50" t="s">
        <v>62</v>
      </c>
      <c r="U19" s="50" t="s">
        <v>62</v>
      </c>
      <c r="AC19" s="48"/>
      <c r="AE19" s="48"/>
    </row>
    <row r="20" spans="1:31" s="44" customFormat="1" ht="30" customHeight="1" x14ac:dyDescent="0.6">
      <c r="A20" s="44" t="s">
        <v>409</v>
      </c>
      <c r="B20" s="51">
        <f>'Comp YTD 2018-2017 Dec'!B23</f>
        <v>4686293475.8800011</v>
      </c>
      <c r="C20" s="51">
        <f>'Comp YTD 2018-2017 Dec'!C23</f>
        <v>86614328.930000007</v>
      </c>
      <c r="D20" s="51">
        <f>'Comp YTD 2018-2017 Dec'!D23</f>
        <v>3620725.9899999998</v>
      </c>
      <c r="E20" s="51">
        <f>'Comp YTD 2018-2017 Dec'!E23</f>
        <v>0</v>
      </c>
      <c r="F20" s="51">
        <f>'Comp YTD 2018-2017 Dec'!F23</f>
        <v>792870.54000000015</v>
      </c>
      <c r="G20" s="51">
        <f>'Comp YTD 2018-2017 Dec'!G23</f>
        <v>0</v>
      </c>
      <c r="H20" s="51">
        <f>'Comp YTD 2018-2017 Dec'!H23</f>
        <v>0</v>
      </c>
      <c r="I20" s="51">
        <f>SUM(B20:H20)</f>
        <v>4777321401.3400011</v>
      </c>
      <c r="J20" s="52"/>
      <c r="K20" s="44" t="s">
        <v>409</v>
      </c>
      <c r="L20" s="51">
        <f>'Comp YTD 2018-2017 Dec'!M23</f>
        <v>3213901966.48</v>
      </c>
      <c r="M20" s="51">
        <f>'Comp YTD 2018-2017 Dec'!N23</f>
        <v>45482062.029999994</v>
      </c>
      <c r="N20" s="51">
        <f>'Comp YTD 2018-2017 Dec'!O23</f>
        <v>2390338.6800000002</v>
      </c>
      <c r="O20" s="51">
        <f>'Comp YTD 2018-2017 Dec'!P23</f>
        <v>0</v>
      </c>
      <c r="P20" s="51">
        <f>'Comp YTD 2018-2017 Dec'!Q23</f>
        <v>826657.42</v>
      </c>
      <c r="Q20" s="51">
        <f>'Comp YTD 2018-2017 Dec'!R23</f>
        <v>0</v>
      </c>
      <c r="R20" s="51">
        <f>'Comp YTD 2018-2017 Dec'!S23</f>
        <v>0</v>
      </c>
      <c r="S20" s="51">
        <f t="shared" ref="S20:S27" si="0">SUM(L20:R20)</f>
        <v>3262601024.6100001</v>
      </c>
      <c r="T20" s="51"/>
      <c r="U20" s="44" t="s">
        <v>409</v>
      </c>
      <c r="V20" s="52"/>
      <c r="W20" s="51">
        <f>I20</f>
        <v>4777321401.3400011</v>
      </c>
      <c r="X20" s="52"/>
      <c r="Y20" s="51">
        <f t="shared" ref="Y20:Y27" si="1">S20</f>
        <v>3262601024.6100001</v>
      </c>
      <c r="Z20" s="52"/>
      <c r="AA20" s="51">
        <f>I20-S20</f>
        <v>1514720376.730001</v>
      </c>
      <c r="AB20" s="51"/>
      <c r="AC20" s="52">
        <f>I20/S20</f>
        <v>1.4642677315750139</v>
      </c>
      <c r="AD20" s="51"/>
      <c r="AE20" s="52">
        <f>AC20-1</f>
        <v>0.46426773157501389</v>
      </c>
    </row>
    <row r="21" spans="1:31" s="44" customFormat="1" ht="30" customHeight="1" x14ac:dyDescent="0.6">
      <c r="A21" s="50" t="s">
        <v>223</v>
      </c>
      <c r="B21" s="53">
        <f t="shared" ref="B21:H21" si="2">SUM(B20:B20)</f>
        <v>4686293475.8800011</v>
      </c>
      <c r="C21" s="53">
        <f t="shared" si="2"/>
        <v>86614328.930000007</v>
      </c>
      <c r="D21" s="53">
        <f t="shared" si="2"/>
        <v>3620725.9899999998</v>
      </c>
      <c r="E21" s="53">
        <f t="shared" si="2"/>
        <v>0</v>
      </c>
      <c r="F21" s="53">
        <f t="shared" si="2"/>
        <v>792870.54000000015</v>
      </c>
      <c r="G21" s="53">
        <f t="shared" si="2"/>
        <v>0</v>
      </c>
      <c r="H21" s="53">
        <f t="shared" si="2"/>
        <v>0</v>
      </c>
      <c r="I21" s="53">
        <f>SUM(B21:H21)</f>
        <v>4777321401.3400011</v>
      </c>
      <c r="J21" s="52"/>
      <c r="K21" s="50" t="s">
        <v>223</v>
      </c>
      <c r="L21" s="53">
        <f>SUM(L20:L20)</f>
        <v>3213901966.48</v>
      </c>
      <c r="M21" s="53">
        <f t="shared" ref="M21:R21" si="3">SUM(M20:M20)</f>
        <v>45482062.029999994</v>
      </c>
      <c r="N21" s="53">
        <f t="shared" si="3"/>
        <v>2390338.6800000002</v>
      </c>
      <c r="O21" s="53">
        <f t="shared" si="3"/>
        <v>0</v>
      </c>
      <c r="P21" s="53">
        <f t="shared" si="3"/>
        <v>826657.42</v>
      </c>
      <c r="Q21" s="53">
        <f>SUM(Q20:Q20)</f>
        <v>0</v>
      </c>
      <c r="R21" s="53">
        <f t="shared" si="3"/>
        <v>0</v>
      </c>
      <c r="S21" s="53">
        <f t="shared" si="0"/>
        <v>3262601024.6100001</v>
      </c>
      <c r="T21" s="51"/>
      <c r="U21" s="50" t="s">
        <v>223</v>
      </c>
      <c r="V21" s="52"/>
      <c r="W21" s="53">
        <f>I21</f>
        <v>4777321401.3400011</v>
      </c>
      <c r="X21" s="52"/>
      <c r="Y21" s="53">
        <f t="shared" si="1"/>
        <v>3262601024.6100001</v>
      </c>
      <c r="Z21" s="52"/>
      <c r="AA21" s="53">
        <f>I21-S21</f>
        <v>1514720376.730001</v>
      </c>
      <c r="AB21" s="51"/>
      <c r="AC21" s="54">
        <f>I21/S21</f>
        <v>1.4642677315750139</v>
      </c>
      <c r="AD21" s="53"/>
      <c r="AE21" s="54">
        <f t="shared" ref="AE21:AE27" si="4">AC21-1</f>
        <v>0.46426773157501389</v>
      </c>
    </row>
    <row r="22" spans="1:31" s="44" customFormat="1" ht="30" customHeight="1" x14ac:dyDescent="0.6">
      <c r="B22" s="51"/>
      <c r="C22" s="51"/>
      <c r="D22" s="51"/>
      <c r="E22" s="51"/>
      <c r="F22" s="51"/>
      <c r="G22" s="51"/>
      <c r="H22" s="51"/>
      <c r="I22" s="51">
        <f>SUM(B22:H22)</f>
        <v>0</v>
      </c>
      <c r="L22" s="51"/>
      <c r="M22" s="51"/>
      <c r="N22" s="51"/>
      <c r="O22" s="51"/>
      <c r="P22" s="51"/>
      <c r="Q22" s="51"/>
      <c r="R22" s="51"/>
      <c r="S22" s="51">
        <f t="shared" si="0"/>
        <v>0</v>
      </c>
      <c r="T22" s="51"/>
      <c r="W22" s="51"/>
      <c r="Y22" s="51">
        <f t="shared" si="1"/>
        <v>0</v>
      </c>
      <c r="AA22" s="51"/>
      <c r="AB22" s="51"/>
      <c r="AC22" s="55"/>
      <c r="AD22" s="51"/>
      <c r="AE22" s="55"/>
    </row>
    <row r="23" spans="1:31" s="44" customFormat="1" ht="30" customHeight="1" x14ac:dyDescent="0.6">
      <c r="A23" s="50" t="s">
        <v>208</v>
      </c>
      <c r="B23" s="51"/>
      <c r="C23" s="51"/>
      <c r="D23" s="51"/>
      <c r="E23" s="51"/>
      <c r="F23" s="51"/>
      <c r="G23" s="51"/>
      <c r="H23" s="51"/>
      <c r="I23" s="51">
        <f>SUM(B23:H23)</f>
        <v>0</v>
      </c>
      <c r="K23" s="50" t="s">
        <v>208</v>
      </c>
      <c r="L23" s="51"/>
      <c r="M23" s="51"/>
      <c r="N23" s="51"/>
      <c r="O23" s="51"/>
      <c r="P23" s="51"/>
      <c r="Q23" s="51"/>
      <c r="R23" s="51"/>
      <c r="S23" s="51">
        <f t="shared" si="0"/>
        <v>0</v>
      </c>
      <c r="T23" s="51"/>
      <c r="U23" s="50" t="s">
        <v>208</v>
      </c>
      <c r="W23" s="51"/>
      <c r="Y23" s="51">
        <f t="shared" si="1"/>
        <v>0</v>
      </c>
      <c r="AA23" s="51"/>
      <c r="AB23" s="51"/>
      <c r="AC23" s="55"/>
      <c r="AD23" s="51"/>
      <c r="AE23" s="55"/>
    </row>
    <row r="24" spans="1:31" s="44" customFormat="1" ht="30" customHeight="1" x14ac:dyDescent="0.6">
      <c r="A24" s="44" t="s">
        <v>410</v>
      </c>
      <c r="B24" s="51">
        <f>'Comp YTD 2018-2017 Dec'!B34</f>
        <v>4680737941.9499998</v>
      </c>
      <c r="C24" s="51">
        <f>'Comp YTD 2018-2017 Dec'!C34</f>
        <v>85329679.289999992</v>
      </c>
      <c r="D24" s="51">
        <f>'Comp YTD 2018-2017 Dec'!D34</f>
        <v>519827.81000000006</v>
      </c>
      <c r="E24" s="51">
        <f>'Comp YTD 2018-2017 Dec'!E34</f>
        <v>0</v>
      </c>
      <c r="F24" s="51">
        <f>'Comp YTD 2018-2017 Dec'!F34</f>
        <v>1929.4099999999999</v>
      </c>
      <c r="G24" s="51">
        <f>'Comp YTD 2018-2017 Dec'!G34</f>
        <v>0</v>
      </c>
      <c r="H24" s="51">
        <f>'Comp YTD 2018-2017 Dec'!H34</f>
        <v>0</v>
      </c>
      <c r="I24" s="51">
        <f>'Comp YTD 2018-2017 Dec'!I34</f>
        <v>4766589378.46</v>
      </c>
      <c r="J24" s="52"/>
      <c r="K24" s="44" t="s">
        <v>410</v>
      </c>
      <c r="L24" s="51">
        <f>'Comp YTD 2018-2017 Dec'!M34</f>
        <v>3211736180.3699994</v>
      </c>
      <c r="M24" s="51">
        <f>'Comp YTD 2018-2017 Dec'!N34</f>
        <v>44733464.300000004</v>
      </c>
      <c r="N24" s="51">
        <f>'Comp YTD 2018-2017 Dec'!O34</f>
        <v>391100.86</v>
      </c>
      <c r="O24" s="51">
        <f>'Comp YTD 2018-2017 Dec'!P34</f>
        <v>0</v>
      </c>
      <c r="P24" s="51">
        <f>'Comp YTD 2018-2017 Dec'!Q34</f>
        <v>1651.32</v>
      </c>
      <c r="Q24" s="51">
        <f>'Comp YTD 2018-2017 Dec'!R34</f>
        <v>0</v>
      </c>
      <c r="R24" s="51">
        <f>'Comp YTD 2018-2017 Dec'!S34</f>
        <v>0</v>
      </c>
      <c r="S24" s="51">
        <f t="shared" si="0"/>
        <v>3256862396.8499999</v>
      </c>
      <c r="T24" s="51"/>
      <c r="U24" s="44" t="s">
        <v>410</v>
      </c>
      <c r="V24" s="52"/>
      <c r="W24" s="51">
        <f>I24</f>
        <v>4766589378.46</v>
      </c>
      <c r="X24" s="52"/>
      <c r="Y24" s="51">
        <f t="shared" si="1"/>
        <v>3256862396.8499999</v>
      </c>
      <c r="Z24" s="52"/>
      <c r="AA24" s="51">
        <f>I24-S24</f>
        <v>1509726981.6100001</v>
      </c>
      <c r="AB24" s="51"/>
      <c r="AC24" s="52">
        <f>I24/S24</f>
        <v>1.463552584558129</v>
      </c>
      <c r="AD24" s="51"/>
      <c r="AE24" s="52">
        <f t="shared" si="4"/>
        <v>0.46355258455812898</v>
      </c>
    </row>
    <row r="25" spans="1:31" s="44" customFormat="1" ht="30" customHeight="1" x14ac:dyDescent="0.6">
      <c r="A25" s="50" t="s">
        <v>224</v>
      </c>
      <c r="B25" s="53">
        <f t="shared" ref="B25:H25" si="5">SUM(B24:B24)</f>
        <v>4680737941.9499998</v>
      </c>
      <c r="C25" s="53">
        <f t="shared" si="5"/>
        <v>85329679.289999992</v>
      </c>
      <c r="D25" s="53">
        <f t="shared" si="5"/>
        <v>519827.81000000006</v>
      </c>
      <c r="E25" s="53">
        <f t="shared" si="5"/>
        <v>0</v>
      </c>
      <c r="F25" s="53">
        <f t="shared" si="5"/>
        <v>1929.4099999999999</v>
      </c>
      <c r="G25" s="53">
        <f t="shared" si="5"/>
        <v>0</v>
      </c>
      <c r="H25" s="53">
        <f t="shared" si="5"/>
        <v>0</v>
      </c>
      <c r="I25" s="53">
        <f t="shared" ref="I25:I31" si="6">SUM(B25:H25)</f>
        <v>4766589378.46</v>
      </c>
      <c r="J25" s="52"/>
      <c r="K25" s="50" t="s">
        <v>224</v>
      </c>
      <c r="L25" s="53">
        <f t="shared" ref="L25:R25" si="7">SUM(L24:L24)</f>
        <v>3211736180.3699994</v>
      </c>
      <c r="M25" s="53">
        <f t="shared" si="7"/>
        <v>44733464.300000004</v>
      </c>
      <c r="N25" s="53">
        <f t="shared" si="7"/>
        <v>391100.86</v>
      </c>
      <c r="O25" s="53">
        <f t="shared" si="7"/>
        <v>0</v>
      </c>
      <c r="P25" s="53">
        <f t="shared" si="7"/>
        <v>1651.32</v>
      </c>
      <c r="Q25" s="53">
        <f t="shared" si="7"/>
        <v>0</v>
      </c>
      <c r="R25" s="53">
        <f t="shared" si="7"/>
        <v>0</v>
      </c>
      <c r="S25" s="53">
        <f t="shared" si="0"/>
        <v>3256862396.8499999</v>
      </c>
      <c r="T25" s="51"/>
      <c r="U25" s="50" t="s">
        <v>224</v>
      </c>
      <c r="V25" s="52"/>
      <c r="W25" s="53">
        <f>I25</f>
        <v>4766589378.46</v>
      </c>
      <c r="X25" s="52"/>
      <c r="Y25" s="53">
        <f t="shared" si="1"/>
        <v>3256862396.8499999</v>
      </c>
      <c r="Z25" s="52"/>
      <c r="AA25" s="53">
        <f>SUM(AA24:AA24)</f>
        <v>1509726981.6100001</v>
      </c>
      <c r="AB25" s="51"/>
      <c r="AC25" s="54">
        <f>I25/S25</f>
        <v>1.463552584558129</v>
      </c>
      <c r="AD25" s="53"/>
      <c r="AE25" s="54">
        <f t="shared" si="4"/>
        <v>0.46355258455812898</v>
      </c>
    </row>
    <row r="26" spans="1:31" s="44" customFormat="1" ht="30" customHeight="1" x14ac:dyDescent="0.6">
      <c r="B26" s="51"/>
      <c r="C26" s="51"/>
      <c r="D26" s="51"/>
      <c r="E26" s="51"/>
      <c r="F26" s="51"/>
      <c r="G26" s="51"/>
      <c r="H26" s="51"/>
      <c r="I26" s="51">
        <f t="shared" si="6"/>
        <v>0</v>
      </c>
      <c r="L26" s="51"/>
      <c r="M26" s="51"/>
      <c r="N26" s="51"/>
      <c r="O26" s="51"/>
      <c r="P26" s="51"/>
      <c r="Q26" s="51"/>
      <c r="R26" s="51"/>
      <c r="S26" s="51">
        <f t="shared" si="0"/>
        <v>0</v>
      </c>
      <c r="T26" s="51"/>
      <c r="W26" s="51">
        <f>I26</f>
        <v>0</v>
      </c>
      <c r="Y26" s="51">
        <f t="shared" si="1"/>
        <v>0</v>
      </c>
      <c r="AA26" s="51"/>
      <c r="AB26" s="51"/>
      <c r="AC26" s="52"/>
      <c r="AD26" s="51"/>
      <c r="AE26" s="52"/>
    </row>
    <row r="27" spans="1:31" s="44" customFormat="1" ht="30" customHeight="1" thickBot="1" x14ac:dyDescent="0.65">
      <c r="A27" s="50" t="s">
        <v>211</v>
      </c>
      <c r="B27" s="56">
        <f t="shared" ref="B27:H27" si="8">B21-B25</f>
        <v>5555533.9300012589</v>
      </c>
      <c r="C27" s="56">
        <f t="shared" si="8"/>
        <v>1284649.6400000155</v>
      </c>
      <c r="D27" s="56">
        <f t="shared" si="8"/>
        <v>3100898.1799999997</v>
      </c>
      <c r="E27" s="56">
        <f t="shared" si="8"/>
        <v>0</v>
      </c>
      <c r="F27" s="56">
        <f t="shared" si="8"/>
        <v>790941.13000000012</v>
      </c>
      <c r="G27" s="56">
        <f>G21-G25</f>
        <v>0</v>
      </c>
      <c r="H27" s="56">
        <f t="shared" si="8"/>
        <v>0</v>
      </c>
      <c r="I27" s="56">
        <f t="shared" si="6"/>
        <v>10732022.880001275</v>
      </c>
      <c r="K27" s="50" t="s">
        <v>211</v>
      </c>
      <c r="L27" s="56">
        <f t="shared" ref="L27:R27" si="9">L21-L25</f>
        <v>2165786.1100006104</v>
      </c>
      <c r="M27" s="56">
        <f t="shared" si="9"/>
        <v>748597.72999998927</v>
      </c>
      <c r="N27" s="56">
        <f t="shared" si="9"/>
        <v>1999237.8200000003</v>
      </c>
      <c r="O27" s="56">
        <f t="shared" si="9"/>
        <v>0</v>
      </c>
      <c r="P27" s="56">
        <f t="shared" si="9"/>
        <v>825006.10000000009</v>
      </c>
      <c r="Q27" s="56">
        <f>Q21-Q25</f>
        <v>0</v>
      </c>
      <c r="R27" s="56">
        <f t="shared" si="9"/>
        <v>0</v>
      </c>
      <c r="S27" s="56">
        <f t="shared" si="0"/>
        <v>5738627.7600005995</v>
      </c>
      <c r="T27" s="51"/>
      <c r="U27" s="50" t="s">
        <v>211</v>
      </c>
      <c r="W27" s="56">
        <f>I27</f>
        <v>10732022.880001275</v>
      </c>
      <c r="Y27" s="56">
        <f t="shared" si="1"/>
        <v>5738627.7600005995</v>
      </c>
      <c r="AA27" s="56">
        <f>I27-S27</f>
        <v>4993395.1200006753</v>
      </c>
      <c r="AB27" s="51"/>
      <c r="AC27" s="57">
        <f>I27/S27</f>
        <v>1.8701374838782283</v>
      </c>
      <c r="AD27" s="56"/>
      <c r="AE27" s="57">
        <f t="shared" si="4"/>
        <v>0.87013748387822831</v>
      </c>
    </row>
    <row r="28" spans="1:31" s="44" customFormat="1" ht="30" customHeight="1" x14ac:dyDescent="0.6">
      <c r="B28" s="51"/>
      <c r="C28" s="51"/>
      <c r="D28" s="51"/>
      <c r="E28" s="51"/>
      <c r="F28" s="51"/>
      <c r="G28" s="51"/>
      <c r="H28" s="51"/>
      <c r="I28" s="51">
        <f t="shared" si="6"/>
        <v>0</v>
      </c>
      <c r="L28" s="51"/>
      <c r="M28" s="51"/>
      <c r="N28" s="51"/>
      <c r="O28" s="51"/>
      <c r="P28" s="51"/>
      <c r="Q28" s="51"/>
      <c r="R28" s="51"/>
      <c r="S28" s="51"/>
      <c r="T28" s="51"/>
      <c r="W28" s="51"/>
      <c r="Y28" s="51"/>
      <c r="AA28" s="51"/>
      <c r="AB28" s="51"/>
      <c r="AC28" s="55"/>
      <c r="AD28" s="51"/>
      <c r="AE28" s="55"/>
    </row>
    <row r="29" spans="1:31" s="44" customFormat="1" ht="30" customHeight="1" x14ac:dyDescent="0.6">
      <c r="A29" s="50" t="s">
        <v>209</v>
      </c>
      <c r="B29" s="51"/>
      <c r="C29" s="51"/>
      <c r="D29" s="51"/>
      <c r="E29" s="51"/>
      <c r="F29" s="51"/>
      <c r="G29" s="51"/>
      <c r="H29" s="51"/>
      <c r="I29" s="51">
        <f t="shared" si="6"/>
        <v>0</v>
      </c>
      <c r="K29" s="50" t="s">
        <v>209</v>
      </c>
      <c r="L29" s="51"/>
      <c r="M29" s="51"/>
      <c r="N29" s="51"/>
      <c r="O29" s="51"/>
      <c r="P29" s="51"/>
      <c r="Q29" s="51"/>
      <c r="R29" s="51"/>
      <c r="S29" s="51"/>
      <c r="T29" s="51"/>
      <c r="U29" s="50" t="s">
        <v>209</v>
      </c>
      <c r="W29" s="51"/>
      <c r="Y29" s="51"/>
      <c r="AA29" s="51"/>
      <c r="AB29" s="51"/>
      <c r="AC29" s="55"/>
      <c r="AD29" s="51"/>
      <c r="AE29" s="55"/>
    </row>
    <row r="30" spans="1:31" s="44" customFormat="1" ht="30" customHeight="1" x14ac:dyDescent="0.6">
      <c r="A30" s="50" t="s">
        <v>225</v>
      </c>
      <c r="B30" s="51">
        <f>'Comp YTD 2018-2017 Dec'!B51</f>
        <v>3249940.1200000006</v>
      </c>
      <c r="C30" s="51">
        <f>'Comp YTD 2018-2017 Dec'!C51</f>
        <v>827379.59999999986</v>
      </c>
      <c r="D30" s="51">
        <f>'Comp YTD 2018-2017 Dec'!D51</f>
        <v>1059533.54</v>
      </c>
      <c r="E30" s="51">
        <f>'Comp YTD 2018-2017 Dec'!E51</f>
        <v>0</v>
      </c>
      <c r="F30" s="51">
        <f>'Comp YTD 2018-2017 Dec'!F51</f>
        <v>412682.21</v>
      </c>
      <c r="G30" s="51">
        <f>'Comp YTD 2018-2017 Dec'!G51</f>
        <v>0</v>
      </c>
      <c r="H30" s="51">
        <f>'Comp YTD 2018-2017 Dec'!H51</f>
        <v>0</v>
      </c>
      <c r="I30" s="51">
        <f t="shared" si="6"/>
        <v>5549535.4700000007</v>
      </c>
      <c r="K30" s="50" t="s">
        <v>225</v>
      </c>
      <c r="L30" s="51">
        <f>'Comp YTD 2018-2017 Dec'!M51</f>
        <v>4854293.9799999995</v>
      </c>
      <c r="M30" s="51">
        <f>'Comp YTD 2018-2017 Dec'!N51</f>
        <v>0</v>
      </c>
      <c r="N30" s="51">
        <f>'Comp YTD 2018-2017 Dec'!O51</f>
        <v>206396.49999999997</v>
      </c>
      <c r="O30" s="51">
        <f>'Comp YTD 2018-2017 Dec'!P51</f>
        <v>0</v>
      </c>
      <c r="P30" s="51">
        <f>'Comp YTD 2018-2017 Dec'!Q51</f>
        <v>407136.8</v>
      </c>
      <c r="Q30" s="51">
        <f>'Comp YTD 2018-2017 Dec'!R51</f>
        <v>0</v>
      </c>
      <c r="R30" s="51">
        <f>'Comp YTD 2018-2017 Dec'!S51</f>
        <v>0</v>
      </c>
      <c r="S30" s="51">
        <f>SUM(L30:R30)</f>
        <v>5467827.2799999993</v>
      </c>
      <c r="T30" s="51"/>
      <c r="U30" s="50" t="s">
        <v>225</v>
      </c>
      <c r="W30" s="51">
        <f>I30</f>
        <v>5549535.4700000007</v>
      </c>
      <c r="Y30" s="51">
        <f t="shared" ref="Y30:Y37" si="10">S30</f>
        <v>5467827.2799999993</v>
      </c>
      <c r="AA30" s="51">
        <f>I30-S30</f>
        <v>81708.190000001341</v>
      </c>
      <c r="AB30" s="51"/>
      <c r="AC30" s="55">
        <f>I30/S30</f>
        <v>1.0149434475187009</v>
      </c>
      <c r="AD30" s="51"/>
      <c r="AE30" s="55">
        <f>AC30-1</f>
        <v>1.4943447518700914E-2</v>
      </c>
    </row>
    <row r="31" spans="1:31" s="44" customFormat="1" ht="30" customHeight="1" x14ac:dyDescent="0.6">
      <c r="A31" s="50" t="s">
        <v>486</v>
      </c>
      <c r="B31" s="51">
        <f>'Comp YTD 2018-2017 Dec'!B76</f>
        <v>2710536.9899999993</v>
      </c>
      <c r="C31" s="51">
        <f>'Comp YTD 2018-2017 Dec'!C76</f>
        <v>106689.88</v>
      </c>
      <c r="D31" s="51">
        <f>'Comp YTD 2018-2017 Dec'!D76</f>
        <v>1160003.8799999999</v>
      </c>
      <c r="E31" s="51">
        <f>'Comp YTD 2018-2017 Dec'!E76</f>
        <v>109</v>
      </c>
      <c r="F31" s="51">
        <f>'Comp YTD 2018-2017 Dec'!F76</f>
        <v>303827.08</v>
      </c>
      <c r="G31" s="51">
        <f>'Comp YTD 2018-2017 Dec'!G76</f>
        <v>111533.19000000003</v>
      </c>
      <c r="H31" s="51">
        <f>'Comp YTD 2018-2017 Dec'!H76</f>
        <v>177353.96000000002</v>
      </c>
      <c r="I31" s="51">
        <f t="shared" si="6"/>
        <v>4570053.9799999995</v>
      </c>
      <c r="K31" s="50" t="s">
        <v>486</v>
      </c>
      <c r="L31" s="51">
        <f>'Comp YTD 2018-2017 Dec'!M76</f>
        <v>1685256.53</v>
      </c>
      <c r="M31" s="51">
        <f>'Comp YTD 2018-2017 Dec'!N76</f>
        <v>17231.099999999999</v>
      </c>
      <c r="N31" s="51">
        <f>'Comp YTD 2018-2017 Dec'!O76</f>
        <v>869181.06000000017</v>
      </c>
      <c r="O31" s="51">
        <f>'Comp YTD 2018-2017 Dec'!P76</f>
        <v>0</v>
      </c>
      <c r="P31" s="51">
        <f>'Comp YTD 2018-2017 Dec'!Q76</f>
        <v>344714.62000000005</v>
      </c>
      <c r="Q31" s="51">
        <f>'Comp YTD 2018-2017 Dec'!R76</f>
        <v>111806.15000000001</v>
      </c>
      <c r="R31" s="51">
        <f>'Comp YTD 2018-2017 Dec'!S76</f>
        <v>136756</v>
      </c>
      <c r="S31" s="51">
        <f>SUM(L31:R31)</f>
        <v>3164945.4600000004</v>
      </c>
      <c r="T31" s="51"/>
      <c r="U31" s="50" t="s">
        <v>486</v>
      </c>
      <c r="W31" s="51">
        <f>I31</f>
        <v>4570053.9799999995</v>
      </c>
      <c r="Y31" s="51">
        <f t="shared" si="10"/>
        <v>3164945.4600000004</v>
      </c>
      <c r="AA31" s="51">
        <f>I31-S31</f>
        <v>1405108.5199999991</v>
      </c>
      <c r="AB31" s="51"/>
      <c r="AC31" s="55">
        <f>I31/S31</f>
        <v>1.4439597894366238</v>
      </c>
      <c r="AD31" s="51"/>
      <c r="AE31" s="55">
        <f>AC31-1</f>
        <v>0.44395978943662384</v>
      </c>
    </row>
    <row r="32" spans="1:31" s="44" customFormat="1" ht="30" customHeight="1" x14ac:dyDescent="0.6">
      <c r="A32" s="50" t="s">
        <v>250</v>
      </c>
      <c r="B32" s="51">
        <f>'Comp YTD 2018-2017 Dec'!B99</f>
        <v>856469.91</v>
      </c>
      <c r="C32" s="51">
        <f>'Comp YTD 2018-2017 Dec'!C99</f>
        <v>87909.52</v>
      </c>
      <c r="D32" s="51">
        <f>'Comp YTD 2018-2017 Dec'!D99</f>
        <v>221349.53000000003</v>
      </c>
      <c r="E32" s="51">
        <f>'Comp YTD 2018-2017 Dec'!E99</f>
        <v>31775.25</v>
      </c>
      <c r="F32" s="51">
        <f>'Comp YTD 2018-2017 Dec'!F99</f>
        <v>55394.01</v>
      </c>
      <c r="G32" s="51">
        <f>'Comp YTD 2018-2017 Dec'!G99</f>
        <v>3445</v>
      </c>
      <c r="H32" s="51">
        <f>'Comp YTD 2018-2017 Dec'!H99</f>
        <v>3505.25</v>
      </c>
      <c r="I32" s="51">
        <f>'Comp YTD 2018-2017 Dec'!I99</f>
        <v>1259848.47</v>
      </c>
      <c r="K32" s="50" t="s">
        <v>250</v>
      </c>
      <c r="L32" s="51">
        <f>'Comp YTD 2018-2017 Dec'!M99</f>
        <v>773146.87</v>
      </c>
      <c r="M32" s="51">
        <f>'Comp YTD 2018-2017 Dec'!N99</f>
        <v>83215.520000000004</v>
      </c>
      <c r="N32" s="51">
        <f>'Comp YTD 2018-2017 Dec'!O99</f>
        <v>106488.09000000001</v>
      </c>
      <c r="O32" s="51">
        <f>'Comp YTD 2018-2017 Dec'!P99</f>
        <v>7892.37</v>
      </c>
      <c r="P32" s="51">
        <f>'Comp YTD 2018-2017 Dec'!Q99</f>
        <v>64606.78</v>
      </c>
      <c r="Q32" s="51">
        <f>'Comp YTD 2018-2017 Dec'!R99</f>
        <v>11156.87</v>
      </c>
      <c r="R32" s="51">
        <f>'Comp YTD 2018-2017 Dec'!S99</f>
        <v>2757.27</v>
      </c>
      <c r="S32" s="51">
        <f>SUM(L32:R32)</f>
        <v>1049263.77</v>
      </c>
      <c r="T32" s="51"/>
      <c r="U32" s="50" t="s">
        <v>250</v>
      </c>
      <c r="W32" s="51">
        <f>I32</f>
        <v>1259848.47</v>
      </c>
      <c r="Y32" s="51">
        <f t="shared" si="10"/>
        <v>1049263.77</v>
      </c>
      <c r="AA32" s="51">
        <f>I32-S32</f>
        <v>210584.69999999995</v>
      </c>
      <c r="AB32" s="51"/>
      <c r="AC32" s="55">
        <f>I32/S32</f>
        <v>1.2006975805521236</v>
      </c>
      <c r="AD32" s="51"/>
      <c r="AE32" s="55">
        <f>AC32-1</f>
        <v>0.20069758055212361</v>
      </c>
    </row>
    <row r="33" spans="1:32" s="44" customFormat="1" ht="30" customHeight="1" thickBot="1" x14ac:dyDescent="0.65">
      <c r="A33" s="50" t="s">
        <v>264</v>
      </c>
      <c r="B33" s="56">
        <f>SUM(B30:B32)</f>
        <v>6816947.0199999996</v>
      </c>
      <c r="C33" s="56">
        <f>SUM(C30:C32)</f>
        <v>1021978.9999999999</v>
      </c>
      <c r="D33" s="56">
        <f t="shared" ref="D33:I33" si="11">SUM(D30:D32)</f>
        <v>2440886.9500000002</v>
      </c>
      <c r="E33" s="56">
        <f t="shared" si="11"/>
        <v>31884.25</v>
      </c>
      <c r="F33" s="56">
        <f t="shared" si="11"/>
        <v>771903.3</v>
      </c>
      <c r="G33" s="56">
        <f>SUM(G30:G32)</f>
        <v>114978.19000000003</v>
      </c>
      <c r="H33" s="56">
        <f t="shared" si="11"/>
        <v>180859.21000000002</v>
      </c>
      <c r="I33" s="56">
        <f t="shared" si="11"/>
        <v>11379437.92</v>
      </c>
      <c r="K33" s="50" t="s">
        <v>264</v>
      </c>
      <c r="L33" s="56">
        <f>SUM(L30:L32)</f>
        <v>7312697.3799999999</v>
      </c>
      <c r="M33" s="56">
        <f t="shared" ref="M33:R33" si="12">SUM(M30:M32)</f>
        <v>100446.62</v>
      </c>
      <c r="N33" s="56">
        <f t="shared" si="12"/>
        <v>1182065.6500000001</v>
      </c>
      <c r="O33" s="56">
        <f t="shared" si="12"/>
        <v>7892.37</v>
      </c>
      <c r="P33" s="56">
        <f t="shared" si="12"/>
        <v>816458.20000000007</v>
      </c>
      <c r="Q33" s="56">
        <f>SUM(Q30:Q32)</f>
        <v>122963.02</v>
      </c>
      <c r="R33" s="56">
        <f t="shared" si="12"/>
        <v>139513.26999999999</v>
      </c>
      <c r="S33" s="56">
        <f>SUM(S30:S32)</f>
        <v>9682036.5099999998</v>
      </c>
      <c r="T33" s="51"/>
      <c r="U33" s="50" t="s">
        <v>264</v>
      </c>
      <c r="W33" s="56">
        <f>I33</f>
        <v>11379437.92</v>
      </c>
      <c r="Y33" s="56">
        <f t="shared" si="10"/>
        <v>9682036.5099999998</v>
      </c>
      <c r="AA33" s="56">
        <f>I33-S33</f>
        <v>1697401.4100000001</v>
      </c>
      <c r="AB33" s="51"/>
      <c r="AC33" s="58">
        <f>I33/S33</f>
        <v>1.1753145020933204</v>
      </c>
      <c r="AD33" s="56"/>
      <c r="AE33" s="58">
        <f>AC33-1</f>
        <v>0.17531450209332045</v>
      </c>
    </row>
    <row r="34" spans="1:32" s="44" customFormat="1" ht="30" customHeight="1" x14ac:dyDescent="0.6">
      <c r="B34" s="51"/>
      <c r="C34" s="51"/>
      <c r="D34" s="51"/>
      <c r="E34" s="51"/>
      <c r="F34" s="51"/>
      <c r="G34" s="51"/>
      <c r="H34" s="51"/>
      <c r="I34" s="51"/>
      <c r="L34" s="51"/>
      <c r="M34" s="51"/>
      <c r="N34" s="51"/>
      <c r="O34" s="51"/>
      <c r="P34" s="51"/>
      <c r="Q34" s="51"/>
      <c r="R34" s="51"/>
      <c r="S34" s="51"/>
      <c r="T34" s="51"/>
      <c r="W34" s="47"/>
      <c r="Y34" s="47">
        <f t="shared" si="10"/>
        <v>0</v>
      </c>
      <c r="AA34" s="47"/>
      <c r="AB34" s="47"/>
      <c r="AC34" s="55"/>
      <c r="AD34" s="47"/>
      <c r="AE34" s="55"/>
    </row>
    <row r="35" spans="1:32" s="44" customFormat="1" ht="30" customHeight="1" x14ac:dyDescent="0.6">
      <c r="A35" s="50" t="s">
        <v>462</v>
      </c>
      <c r="B35" s="51">
        <f>'Comp YTD 2018-2017 Dec'!B118</f>
        <v>690805.33000000007</v>
      </c>
      <c r="C35" s="51">
        <f>'Comp YTD 2018-2017 Dec'!C118</f>
        <v>-44203.74</v>
      </c>
      <c r="D35" s="51">
        <f>'Comp YTD 2018-2017 Dec'!D118</f>
        <v>184785.49</v>
      </c>
      <c r="E35" s="51">
        <f>'Comp YTD 2018-2017 Dec'!E118</f>
        <v>46516.999999999993</v>
      </c>
      <c r="F35" s="51">
        <f>'Comp YTD 2018-2017 Dec'!F118</f>
        <v>-48906.52</v>
      </c>
      <c r="G35" s="51">
        <f>'Comp YTD 2018-2017 Dec'!G118</f>
        <v>305747.33</v>
      </c>
      <c r="H35" s="51">
        <f>'Comp YTD 2018-2017 Dec'!H118</f>
        <v>239437.5</v>
      </c>
      <c r="I35" s="51">
        <f>SUM(B35:H35)</f>
        <v>1374182.3900000001</v>
      </c>
      <c r="K35" s="50" t="s">
        <v>462</v>
      </c>
      <c r="L35" s="51">
        <f>'Comp YTD 2018-2017 Dec'!M118</f>
        <v>611305.22</v>
      </c>
      <c r="M35" s="51">
        <f>'Comp YTD 2018-2017 Dec'!N118</f>
        <v>-424552.5</v>
      </c>
      <c r="N35" s="51">
        <f>'Comp YTD 2018-2017 Dec'!O118</f>
        <v>168406.78</v>
      </c>
      <c r="O35" s="51">
        <f>'Comp YTD 2018-2017 Dec'!P118</f>
        <v>76646.33</v>
      </c>
      <c r="P35" s="51">
        <f>'Comp YTD 2018-2017 Dec'!Q118</f>
        <v>-54732.12000000001</v>
      </c>
      <c r="Q35" s="51">
        <f>'Comp YTD 2018-2017 Dec'!R118</f>
        <v>225936.52</v>
      </c>
      <c r="R35" s="51">
        <f>'Comp YTD 2018-2017 Dec'!S118</f>
        <v>100000</v>
      </c>
      <c r="S35" s="51">
        <f>SUM(L35:R35)</f>
        <v>703010.23</v>
      </c>
      <c r="T35" s="51"/>
      <c r="U35" s="50" t="s">
        <v>462</v>
      </c>
      <c r="W35" s="47">
        <f>I35</f>
        <v>1374182.3900000001</v>
      </c>
      <c r="Y35" s="47">
        <f t="shared" si="10"/>
        <v>703010.23</v>
      </c>
      <c r="AA35" s="47">
        <f>I35-S35</f>
        <v>671172.16000000015</v>
      </c>
      <c r="AB35" s="47"/>
      <c r="AC35" s="55">
        <f>I35/S35</f>
        <v>1.954711797010408</v>
      </c>
      <c r="AD35" s="48"/>
      <c r="AE35" s="55">
        <f>AC35-1</f>
        <v>0.95471179701040798</v>
      </c>
      <c r="AF35" s="48"/>
    </row>
    <row r="36" spans="1:32" s="44" customFormat="1" ht="30" customHeight="1" x14ac:dyDescent="0.6">
      <c r="A36" s="50"/>
      <c r="B36" s="51"/>
      <c r="C36" s="51"/>
      <c r="D36" s="51"/>
      <c r="E36" s="51"/>
      <c r="F36" s="51"/>
      <c r="G36" s="51"/>
      <c r="H36" s="51"/>
      <c r="I36" s="51">
        <f>SUM(B36:H36)</f>
        <v>0</v>
      </c>
      <c r="J36" s="52"/>
      <c r="K36" s="50"/>
      <c r="L36" s="51"/>
      <c r="M36" s="51"/>
      <c r="N36" s="51"/>
      <c r="O36" s="51"/>
      <c r="P36" s="51"/>
      <c r="Q36" s="51"/>
      <c r="R36" s="51"/>
      <c r="S36" s="51">
        <f>SUM(L36:R36)</f>
        <v>0</v>
      </c>
      <c r="T36" s="51"/>
      <c r="U36" s="50"/>
      <c r="V36" s="52"/>
      <c r="W36" s="51"/>
      <c r="X36" s="52"/>
      <c r="Y36" s="51">
        <f t="shared" si="10"/>
        <v>0</v>
      </c>
      <c r="Z36" s="52"/>
      <c r="AA36" s="51"/>
      <c r="AB36" s="51"/>
      <c r="AC36" s="48"/>
      <c r="AD36" s="48"/>
      <c r="AE36" s="48"/>
      <c r="AF36" s="48"/>
    </row>
    <row r="37" spans="1:32" s="44" customFormat="1" ht="30" customHeight="1" thickBot="1" x14ac:dyDescent="0.65">
      <c r="A37" s="50" t="s">
        <v>266</v>
      </c>
      <c r="B37" s="59">
        <f t="shared" ref="B37:I37" si="13">B27-B33+B35</f>
        <v>-570607.75999874063</v>
      </c>
      <c r="C37" s="59">
        <f t="shared" si="13"/>
        <v>218466.90000001562</v>
      </c>
      <c r="D37" s="59">
        <f t="shared" si="13"/>
        <v>844796.71999999951</v>
      </c>
      <c r="E37" s="59">
        <f t="shared" si="13"/>
        <v>14632.749999999993</v>
      </c>
      <c r="F37" s="59">
        <f t="shared" si="13"/>
        <v>-29868.689999999922</v>
      </c>
      <c r="G37" s="59">
        <f>G27-G33+G35</f>
        <v>190769.13999999998</v>
      </c>
      <c r="H37" s="59">
        <f t="shared" si="13"/>
        <v>58578.289999999979</v>
      </c>
      <c r="I37" s="59">
        <f t="shared" si="13"/>
        <v>726767.35000127507</v>
      </c>
      <c r="K37" s="50" t="s">
        <v>266</v>
      </c>
      <c r="L37" s="59">
        <f t="shared" ref="L37:R37" si="14">L27-L33+L35</f>
        <v>-4535606.0499993898</v>
      </c>
      <c r="M37" s="59">
        <f t="shared" si="14"/>
        <v>223598.60999998928</v>
      </c>
      <c r="N37" s="59">
        <f t="shared" si="14"/>
        <v>985578.95000000019</v>
      </c>
      <c r="O37" s="59">
        <f t="shared" si="14"/>
        <v>68753.960000000006</v>
      </c>
      <c r="P37" s="59">
        <f t="shared" si="14"/>
        <v>-46184.219999999987</v>
      </c>
      <c r="Q37" s="59">
        <f>Q27-Q33+Q35</f>
        <v>102973.49999999999</v>
      </c>
      <c r="R37" s="59">
        <f t="shared" si="14"/>
        <v>-39513.26999999999</v>
      </c>
      <c r="S37" s="59">
        <f>SUM(L37:R37)</f>
        <v>-3240398.5199994007</v>
      </c>
      <c r="T37" s="68"/>
      <c r="U37" s="50" t="s">
        <v>266</v>
      </c>
      <c r="W37" s="59">
        <f>W27-W33+W35</f>
        <v>726767.35000127507</v>
      </c>
      <c r="Y37" s="59">
        <f t="shared" si="10"/>
        <v>-3240398.5199994007</v>
      </c>
      <c r="AA37" s="59">
        <f>I37-S37</f>
        <v>3967165.8700006758</v>
      </c>
      <c r="AB37" s="68"/>
      <c r="AC37" s="57">
        <f>I37/S37</f>
        <v>-0.22428332364545381</v>
      </c>
      <c r="AD37" s="56"/>
      <c r="AE37" s="57">
        <f>AC37-1</f>
        <v>-1.2242833236454538</v>
      </c>
      <c r="AF37" s="48"/>
    </row>
    <row r="38" spans="1:32" ht="30" customHeight="1" thickTop="1" x14ac:dyDescent="0.3">
      <c r="B38" s="42"/>
      <c r="C38" s="42"/>
      <c r="D38" s="42"/>
      <c r="E38" s="42"/>
      <c r="F38" s="42"/>
      <c r="G38" s="42"/>
      <c r="H38" s="42"/>
      <c r="I38" s="42"/>
      <c r="AD38" s="36"/>
      <c r="AF38" s="36"/>
    </row>
    <row r="39" spans="1:32" ht="30" customHeight="1" x14ac:dyDescent="0.3">
      <c r="L39" s="42"/>
      <c r="AD39" s="36"/>
      <c r="AF39" s="36"/>
    </row>
    <row r="40" spans="1:32" s="44" customFormat="1" ht="30" customHeight="1" x14ac:dyDescent="0.6">
      <c r="A40" s="44" t="s">
        <v>331</v>
      </c>
      <c r="B40" s="51">
        <f>B37-CNT!N287</f>
        <v>1.4314427971839905E-6</v>
      </c>
      <c r="C40" s="51">
        <f>C37-BPM!N80</f>
        <v>1.4784745872020721E-8</v>
      </c>
      <c r="D40" s="51">
        <f>D37-DEP!N82</f>
        <v>0</v>
      </c>
      <c r="E40" s="51">
        <f>E37-Lending!N21</f>
        <v>0</v>
      </c>
      <c r="F40" s="51">
        <f>F37-'BSC (Dome)'!N85</f>
        <v>7.6397554948925972E-11</v>
      </c>
      <c r="G40" s="51">
        <f>G37-'Oliari Co.'!N29</f>
        <v>0</v>
      </c>
      <c r="H40" s="51">
        <f>H37-'722 Bedford St'!N29</f>
        <v>0</v>
      </c>
      <c r="I40" s="51">
        <f>SUM(B40:H40)</f>
        <v>1.4463039406109601E-6</v>
      </c>
      <c r="J40" s="52"/>
      <c r="L40" s="51">
        <f>'Comp YTD 2018-2017 Dec'!M120</f>
        <v>-4535606.0499993898</v>
      </c>
      <c r="M40" s="51">
        <f>'Comp YTD 2018-2017 Dec'!N120</f>
        <v>223598.60999998928</v>
      </c>
      <c r="N40" s="51">
        <f>'Comp YTD 2018-2017 Dec'!O120</f>
        <v>985578.95000000019</v>
      </c>
      <c r="O40" s="51">
        <f>'Comp YTD 2018-2017 Dec'!P120</f>
        <v>68753.960000000006</v>
      </c>
      <c r="P40" s="51">
        <f>'Comp YTD 2018-2017 Dec'!Q120</f>
        <v>-46184.219999999987</v>
      </c>
      <c r="Q40" s="51">
        <f>'Comp YTD 2018-2017 Dec'!R120</f>
        <v>102973.49999999999</v>
      </c>
      <c r="R40" s="51">
        <f>'Comp YTD 2018-2017 Dec'!S120</f>
        <v>-39513.26999999999</v>
      </c>
      <c r="S40" s="51">
        <f>'Comp YTD 2018-2017 Dec'!T120</f>
        <v>-3240398.5199994007</v>
      </c>
      <c r="T40" s="51"/>
      <c r="V40" s="52"/>
      <c r="W40" s="51"/>
      <c r="X40" s="52"/>
      <c r="Y40" s="51"/>
      <c r="Z40" s="52"/>
      <c r="AA40" s="51"/>
      <c r="AB40" s="51"/>
      <c r="AC40" s="48"/>
      <c r="AD40" s="48"/>
      <c r="AE40" s="48"/>
      <c r="AF40" s="48"/>
    </row>
    <row r="41" spans="1:32" s="44" customFormat="1" ht="30" customHeight="1" x14ac:dyDescent="0.6">
      <c r="B41" s="51"/>
      <c r="C41" s="51"/>
      <c r="D41" s="51"/>
      <c r="E41" s="51"/>
      <c r="F41" s="51"/>
      <c r="G41" s="51"/>
      <c r="H41" s="51"/>
      <c r="I41" s="51"/>
      <c r="J41" s="52"/>
      <c r="L41" s="51">
        <f>L37-L40</f>
        <v>0</v>
      </c>
      <c r="M41" s="51">
        <f t="shared" ref="M41:R41" si="15">M37-M40</f>
        <v>0</v>
      </c>
      <c r="N41" s="51">
        <f t="shared" si="15"/>
        <v>0</v>
      </c>
      <c r="O41" s="51">
        <f t="shared" si="15"/>
        <v>0</v>
      </c>
      <c r="P41" s="51">
        <f t="shared" si="15"/>
        <v>0</v>
      </c>
      <c r="Q41" s="51">
        <f>Q37-Q40</f>
        <v>0</v>
      </c>
      <c r="R41" s="51">
        <f t="shared" si="15"/>
        <v>0</v>
      </c>
      <c r="S41" s="51">
        <f>S37-S40</f>
        <v>0</v>
      </c>
      <c r="T41" s="51"/>
      <c r="V41" s="52"/>
      <c r="W41" s="51">
        <f>I37-W37</f>
        <v>0</v>
      </c>
      <c r="X41" s="52"/>
      <c r="Y41" s="51">
        <f>Y37-S37</f>
        <v>0</v>
      </c>
      <c r="Z41" s="52"/>
      <c r="AA41" s="51">
        <f>AA21-AA25-AA33+AA35-AA37</f>
        <v>1.6344711184501648E-7</v>
      </c>
      <c r="AB41" s="51"/>
      <c r="AC41" s="48"/>
      <c r="AD41" s="48"/>
      <c r="AE41" s="48"/>
      <c r="AF41" s="48"/>
    </row>
    <row r="42" spans="1:32" s="44" customFormat="1" ht="30" customHeight="1" x14ac:dyDescent="0.6">
      <c r="B42" s="51"/>
      <c r="C42" s="51"/>
      <c r="D42" s="51"/>
      <c r="E42" s="51"/>
      <c r="F42" s="51"/>
      <c r="G42" s="51"/>
      <c r="H42" s="51"/>
      <c r="I42" s="51"/>
      <c r="J42" s="52"/>
      <c r="L42" s="51"/>
      <c r="M42" s="51"/>
      <c r="N42" s="51"/>
      <c r="O42" s="51"/>
      <c r="P42" s="51"/>
      <c r="Q42" s="51"/>
      <c r="R42" s="51"/>
      <c r="S42" s="51"/>
      <c r="T42" s="51"/>
      <c r="V42" s="52"/>
      <c r="W42" s="51"/>
      <c r="X42" s="52"/>
      <c r="Y42" s="51"/>
      <c r="Z42" s="52"/>
      <c r="AA42" s="51"/>
      <c r="AB42" s="51"/>
      <c r="AC42" s="48"/>
      <c r="AD42" s="48"/>
      <c r="AE42" s="48"/>
      <c r="AF42" s="48"/>
    </row>
    <row r="43" spans="1:32" s="44" customFormat="1" ht="30" customHeight="1" x14ac:dyDescent="0.6">
      <c r="B43" s="51"/>
      <c r="C43" s="51"/>
      <c r="D43" s="51"/>
      <c r="E43" s="51"/>
      <c r="F43" s="51"/>
      <c r="G43" s="51"/>
      <c r="H43" s="51"/>
      <c r="I43" s="51"/>
      <c r="J43" s="52"/>
      <c r="L43" s="51"/>
      <c r="M43" s="51"/>
      <c r="N43" s="51"/>
      <c r="O43" s="51"/>
      <c r="P43" s="51"/>
      <c r="Q43" s="51"/>
      <c r="R43" s="51"/>
      <c r="S43" s="51"/>
      <c r="T43" s="51"/>
      <c r="V43" s="52"/>
      <c r="W43" s="51"/>
      <c r="X43" s="52"/>
      <c r="Y43" s="51"/>
      <c r="Z43" s="52"/>
      <c r="AA43" s="51"/>
      <c r="AB43" s="51"/>
      <c r="AC43" s="48"/>
      <c r="AD43" s="48"/>
      <c r="AE43" s="48"/>
      <c r="AF43" s="48"/>
    </row>
    <row r="44" spans="1:32" x14ac:dyDescent="0.3">
      <c r="B44" s="35"/>
      <c r="C44" s="35"/>
      <c r="D44" s="35"/>
      <c r="E44" s="35"/>
    </row>
    <row r="45" spans="1:32" x14ac:dyDescent="0.3">
      <c r="B45" s="35"/>
      <c r="C45" s="35"/>
      <c r="D45" s="35"/>
      <c r="E45" s="35"/>
    </row>
    <row r="46" spans="1:32" x14ac:dyDescent="0.3">
      <c r="B46" s="35"/>
      <c r="C46" s="35"/>
      <c r="D46" s="35"/>
      <c r="E46" s="35"/>
    </row>
    <row r="47" spans="1:32" x14ac:dyDescent="0.3">
      <c r="B47" s="35"/>
      <c r="C47" s="35"/>
      <c r="D47" s="35"/>
      <c r="E47" s="35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84"/>
  <sheetViews>
    <sheetView topLeftCell="A94" zoomScale="25" zoomScaleNormal="25" zoomScaleSheetLayoutView="10" workbookViewId="0">
      <selection activeCell="B179" sqref="B179"/>
    </sheetView>
  </sheetViews>
  <sheetFormatPr defaultRowHeight="57.6" x14ac:dyDescent="1.05"/>
  <cols>
    <col min="1" max="1" width="179.88671875" style="81" customWidth="1"/>
    <col min="2" max="2" width="97.33203125" style="81" bestFit="1" customWidth="1"/>
    <col min="3" max="3" width="93" style="81" bestFit="1" customWidth="1"/>
    <col min="4" max="4" width="94.44140625" style="81" bestFit="1" customWidth="1"/>
    <col min="5" max="5" width="85.88671875" style="81" bestFit="1" customWidth="1"/>
    <col min="6" max="7" width="91.5546875" style="81" bestFit="1" customWidth="1"/>
    <col min="8" max="8" width="84.44140625" style="81" bestFit="1" customWidth="1"/>
    <col min="9" max="9" width="105.88671875" style="81" bestFit="1" customWidth="1"/>
    <col min="10" max="10" width="46.44140625" style="81" customWidth="1"/>
    <col min="11" max="11" width="11.44140625" style="81" customWidth="1"/>
    <col min="12" max="12" width="155.44140625" style="81" bestFit="1" customWidth="1"/>
    <col min="13" max="13" width="111.5546875" style="119" bestFit="1" customWidth="1"/>
    <col min="14" max="14" width="93" style="119" bestFit="1" customWidth="1"/>
    <col min="15" max="15" width="94.44140625" style="119" bestFit="1" customWidth="1"/>
    <col min="16" max="16" width="85.88671875" style="119" bestFit="1" customWidth="1"/>
    <col min="17" max="17" width="93" style="119" bestFit="1" customWidth="1"/>
    <col min="18" max="18" width="90.109375" style="119" bestFit="1" customWidth="1"/>
    <col min="19" max="19" width="87.33203125" style="119" bestFit="1" customWidth="1"/>
    <col min="20" max="20" width="87.88671875" style="81" customWidth="1"/>
    <col min="21" max="21" width="50.109375" style="81" customWidth="1"/>
    <col min="22" max="22" width="155.44140625" style="81" bestFit="1" customWidth="1"/>
    <col min="23" max="23" width="11.44140625" style="81" customWidth="1"/>
    <col min="24" max="24" width="105.88671875" style="81" bestFit="1" customWidth="1"/>
    <col min="25" max="25" width="11.44140625" style="81" customWidth="1"/>
    <col min="26" max="26" width="93" style="81" bestFit="1" customWidth="1"/>
    <col min="27" max="27" width="11.44140625" style="81" customWidth="1"/>
    <col min="28" max="28" width="93" style="107" bestFit="1" customWidth="1"/>
    <col min="29" max="29" width="4.33203125" style="107" customWidth="1"/>
    <col min="30" max="30" width="80.6640625" style="109" customWidth="1"/>
    <col min="31" max="31" width="4.33203125" style="107" customWidth="1"/>
    <col min="32" max="32" width="50.6640625" style="109" customWidth="1"/>
  </cols>
  <sheetData>
    <row r="2" spans="1:32" ht="40.5" customHeight="1" x14ac:dyDescent="1.0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</row>
    <row r="3" spans="1:32" ht="40.5" customHeight="1" x14ac:dyDescent="1.05">
      <c r="A3" s="170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</row>
    <row r="4" spans="1:32" ht="14.25" customHeight="1" thickBot="1" x14ac:dyDescent="1.1000000000000001"/>
    <row r="5" spans="1:32" s="41" customFormat="1" ht="54.9" customHeight="1" x14ac:dyDescent="1.05">
      <c r="A5" s="171">
        <v>2018</v>
      </c>
      <c r="B5" s="172"/>
      <c r="C5" s="172"/>
      <c r="D5" s="172"/>
      <c r="E5" s="172"/>
      <c r="F5" s="172"/>
      <c r="G5" s="172"/>
      <c r="H5" s="172"/>
      <c r="I5" s="172"/>
      <c r="J5" s="173"/>
      <c r="K5" s="81"/>
      <c r="L5" s="171">
        <v>2017</v>
      </c>
      <c r="M5" s="172"/>
      <c r="N5" s="172"/>
      <c r="O5" s="172"/>
      <c r="P5" s="172"/>
      <c r="Q5" s="172"/>
      <c r="R5" s="172"/>
      <c r="S5" s="172"/>
      <c r="T5" s="172"/>
      <c r="U5" s="173"/>
      <c r="V5" s="157" t="s">
        <v>404</v>
      </c>
      <c r="W5" s="158"/>
      <c r="X5" s="158"/>
      <c r="Y5" s="158"/>
      <c r="Z5" s="158"/>
      <c r="AA5" s="158"/>
      <c r="AB5" s="158"/>
      <c r="AC5" s="158"/>
      <c r="AD5" s="158"/>
      <c r="AE5" s="158"/>
      <c r="AF5" s="159"/>
    </row>
    <row r="6" spans="1:32" s="41" customFormat="1" ht="54.9" customHeight="1" x14ac:dyDescent="1.05">
      <c r="A6" s="174" t="s">
        <v>405</v>
      </c>
      <c r="B6" s="169"/>
      <c r="C6" s="169"/>
      <c r="D6" s="169"/>
      <c r="E6" s="169"/>
      <c r="F6" s="169"/>
      <c r="G6" s="169"/>
      <c r="H6" s="169"/>
      <c r="I6" s="169"/>
      <c r="J6" s="175"/>
      <c r="K6" s="81"/>
      <c r="L6" s="174" t="s">
        <v>405</v>
      </c>
      <c r="M6" s="169"/>
      <c r="N6" s="169"/>
      <c r="O6" s="169"/>
      <c r="P6" s="169"/>
      <c r="Q6" s="169"/>
      <c r="R6" s="169"/>
      <c r="S6" s="169"/>
      <c r="T6" s="169"/>
      <c r="U6" s="175"/>
      <c r="V6" s="160"/>
      <c r="W6" s="161"/>
      <c r="X6" s="161"/>
      <c r="Y6" s="161"/>
      <c r="Z6" s="161"/>
      <c r="AA6" s="161"/>
      <c r="AB6" s="161"/>
      <c r="AC6" s="161"/>
      <c r="AD6" s="161"/>
      <c r="AE6" s="161"/>
      <c r="AF6" s="162"/>
    </row>
    <row r="7" spans="1:32" s="41" customFormat="1" ht="54.9" customHeight="1" x14ac:dyDescent="1.05">
      <c r="A7" s="174" t="s">
        <v>346</v>
      </c>
      <c r="B7" s="169"/>
      <c r="C7" s="169"/>
      <c r="D7" s="169"/>
      <c r="E7" s="169"/>
      <c r="F7" s="169"/>
      <c r="G7" s="169"/>
      <c r="H7" s="169"/>
      <c r="I7" s="169"/>
      <c r="J7" s="175"/>
      <c r="K7" s="81"/>
      <c r="L7" s="174" t="s">
        <v>346</v>
      </c>
      <c r="M7" s="169"/>
      <c r="N7" s="169"/>
      <c r="O7" s="169"/>
      <c r="P7" s="169"/>
      <c r="Q7" s="169"/>
      <c r="R7" s="169"/>
      <c r="S7" s="169"/>
      <c r="T7" s="169"/>
      <c r="U7" s="175"/>
      <c r="V7" s="160"/>
      <c r="W7" s="161"/>
      <c r="X7" s="161"/>
      <c r="Y7" s="161"/>
      <c r="Z7" s="161"/>
      <c r="AA7" s="161"/>
      <c r="AB7" s="161"/>
      <c r="AC7" s="161"/>
      <c r="AD7" s="161"/>
      <c r="AE7" s="161"/>
      <c r="AF7" s="162"/>
    </row>
    <row r="8" spans="1:32" s="41" customFormat="1" ht="54.9" customHeight="1" thickBot="1" x14ac:dyDescent="1.1000000000000001">
      <c r="A8" s="166">
        <v>43465</v>
      </c>
      <c r="B8" s="167"/>
      <c r="C8" s="167"/>
      <c r="D8" s="167"/>
      <c r="E8" s="167"/>
      <c r="F8" s="167"/>
      <c r="G8" s="167"/>
      <c r="H8" s="167"/>
      <c r="I8" s="167"/>
      <c r="J8" s="168"/>
      <c r="K8" s="81"/>
      <c r="L8" s="166">
        <v>43100</v>
      </c>
      <c r="M8" s="167"/>
      <c r="N8" s="167"/>
      <c r="O8" s="167"/>
      <c r="P8" s="167"/>
      <c r="Q8" s="167"/>
      <c r="R8" s="167"/>
      <c r="S8" s="167"/>
      <c r="T8" s="167"/>
      <c r="U8" s="168"/>
      <c r="V8" s="163"/>
      <c r="W8" s="164"/>
      <c r="X8" s="164"/>
      <c r="Y8" s="164"/>
      <c r="Z8" s="164"/>
      <c r="AA8" s="164"/>
      <c r="AB8" s="164"/>
      <c r="AC8" s="164"/>
      <c r="AD8" s="164"/>
      <c r="AE8" s="164"/>
      <c r="AF8" s="165"/>
    </row>
    <row r="9" spans="1:32" s="44" customFormat="1" ht="54.9" customHeight="1" x14ac:dyDescent="1.05">
      <c r="A9" s="82"/>
      <c r="B9" s="82"/>
      <c r="C9" s="82"/>
      <c r="D9" s="82"/>
      <c r="E9" s="82"/>
      <c r="F9" s="82"/>
      <c r="G9" s="82"/>
      <c r="H9" s="82"/>
      <c r="I9" s="82"/>
      <c r="J9" s="82"/>
      <c r="K9" s="81"/>
      <c r="L9" s="82"/>
      <c r="M9" s="120"/>
      <c r="N9" s="120"/>
      <c r="O9" s="120"/>
      <c r="P9" s="120"/>
      <c r="Q9" s="120"/>
      <c r="R9" s="120"/>
      <c r="S9" s="120"/>
      <c r="T9" s="82"/>
      <c r="U9" s="82"/>
      <c r="V9" s="82"/>
      <c r="W9" s="81"/>
      <c r="X9" s="110"/>
      <c r="Y9" s="81"/>
      <c r="Z9" s="110"/>
      <c r="AA9" s="81"/>
      <c r="AB9" s="110"/>
      <c r="AC9" s="110"/>
      <c r="AD9" s="110"/>
      <c r="AE9" s="110"/>
      <c r="AF9" s="110"/>
    </row>
    <row r="10" spans="1:32" s="44" customFormat="1" ht="54.9" customHeight="1" x14ac:dyDescent="1.05">
      <c r="A10" s="81"/>
      <c r="B10" s="81"/>
      <c r="C10" s="81"/>
      <c r="D10" s="81"/>
      <c r="E10" s="81"/>
      <c r="F10" s="81"/>
      <c r="G10" s="81"/>
      <c r="H10" s="81"/>
      <c r="I10" s="81"/>
      <c r="J10" s="82">
        <v>2018</v>
      </c>
      <c r="K10" s="82"/>
      <c r="L10" s="83"/>
      <c r="M10" s="121"/>
      <c r="N10" s="121"/>
      <c r="O10" s="121"/>
      <c r="P10" s="121"/>
      <c r="Q10" s="121"/>
      <c r="R10" s="121"/>
      <c r="S10" s="121"/>
      <c r="T10" s="83"/>
      <c r="U10" s="82">
        <v>2017</v>
      </c>
      <c r="V10" s="83"/>
      <c r="W10" s="82"/>
      <c r="X10" s="107"/>
      <c r="Y10" s="82"/>
      <c r="Z10" s="107"/>
      <c r="AA10" s="82"/>
      <c r="AB10" s="107"/>
      <c r="AC10" s="107"/>
      <c r="AD10" s="109"/>
      <c r="AE10" s="107"/>
      <c r="AF10" s="109"/>
    </row>
    <row r="11" spans="1:32" s="44" customFormat="1" ht="54.9" customHeight="1" x14ac:dyDescent="1.05">
      <c r="A11" s="81"/>
      <c r="B11" s="81"/>
      <c r="C11" s="81"/>
      <c r="D11" s="81"/>
      <c r="E11" s="81"/>
      <c r="F11" s="81"/>
      <c r="G11" s="81"/>
      <c r="H11" s="81"/>
      <c r="I11" s="81"/>
      <c r="J11" s="82" t="s">
        <v>345</v>
      </c>
      <c r="K11" s="82"/>
      <c r="L11" s="83"/>
      <c r="M11" s="121"/>
      <c r="N11" s="121"/>
      <c r="O11" s="121"/>
      <c r="P11" s="121"/>
      <c r="Q11" s="121"/>
      <c r="R11" s="121"/>
      <c r="S11" s="121"/>
      <c r="T11" s="83"/>
      <c r="U11" s="82" t="s">
        <v>345</v>
      </c>
      <c r="V11" s="83"/>
      <c r="W11" s="82"/>
      <c r="X11" s="107"/>
      <c r="Y11" s="82"/>
      <c r="Z11" s="107"/>
      <c r="AA11" s="82"/>
      <c r="AB11" s="107"/>
      <c r="AC11" s="107"/>
      <c r="AD11" s="82" t="s">
        <v>340</v>
      </c>
      <c r="AE11" s="107"/>
      <c r="AF11" s="109"/>
    </row>
    <row r="12" spans="1:32" s="44" customFormat="1" ht="54.9" customHeight="1" x14ac:dyDescent="1.05">
      <c r="A12" s="81"/>
      <c r="B12" s="81"/>
      <c r="C12" s="81"/>
      <c r="D12" s="81"/>
      <c r="E12" s="81"/>
      <c r="F12" s="81"/>
      <c r="G12" s="81"/>
      <c r="H12" s="81"/>
      <c r="I12" s="81"/>
      <c r="J12" s="82" t="s">
        <v>343</v>
      </c>
      <c r="K12" s="82"/>
      <c r="L12" s="81"/>
      <c r="M12" s="119"/>
      <c r="N12" s="119"/>
      <c r="O12" s="119"/>
      <c r="P12" s="119"/>
      <c r="Q12" s="119"/>
      <c r="R12" s="119"/>
      <c r="S12" s="119"/>
      <c r="T12" s="81"/>
      <c r="U12" s="82" t="s">
        <v>343</v>
      </c>
      <c r="V12" s="81"/>
      <c r="W12" s="82"/>
      <c r="X12" s="82"/>
      <c r="Y12" s="82"/>
      <c r="Z12" s="82"/>
      <c r="AA12" s="82"/>
      <c r="AB12" s="82" t="s">
        <v>340</v>
      </c>
      <c r="AC12" s="82"/>
      <c r="AD12" s="109" t="s">
        <v>343</v>
      </c>
      <c r="AE12" s="82"/>
      <c r="AF12" s="82" t="s">
        <v>342</v>
      </c>
    </row>
    <row r="13" spans="1:32" s="44" customFormat="1" ht="54.9" customHeight="1" x14ac:dyDescent="1.05">
      <c r="A13" s="81"/>
      <c r="B13" s="81"/>
      <c r="C13" s="81"/>
      <c r="D13" s="81"/>
      <c r="E13" s="81"/>
      <c r="F13" s="81"/>
      <c r="G13" s="81"/>
      <c r="H13" s="81"/>
      <c r="I13" s="82" t="s">
        <v>207</v>
      </c>
      <c r="J13" s="82" t="s">
        <v>207</v>
      </c>
      <c r="K13" s="82"/>
      <c r="L13" s="81"/>
      <c r="M13" s="119"/>
      <c r="N13" s="119"/>
      <c r="O13" s="119"/>
      <c r="P13" s="119"/>
      <c r="Q13" s="119"/>
      <c r="R13" s="119"/>
      <c r="S13" s="119"/>
      <c r="T13" s="82" t="s">
        <v>207</v>
      </c>
      <c r="U13" s="82" t="s">
        <v>207</v>
      </c>
      <c r="V13" s="81"/>
      <c r="W13" s="82"/>
      <c r="X13" s="82">
        <v>2018</v>
      </c>
      <c r="Y13" s="82"/>
      <c r="Z13" s="82">
        <v>2017</v>
      </c>
      <c r="AA13" s="82"/>
      <c r="AB13" s="82" t="s">
        <v>341</v>
      </c>
      <c r="AC13" s="82"/>
      <c r="AD13" s="82" t="s">
        <v>341</v>
      </c>
      <c r="AE13" s="82"/>
      <c r="AF13" s="82" t="s">
        <v>344</v>
      </c>
    </row>
    <row r="14" spans="1:32" s="44" customFormat="1" ht="54.9" customHeight="1" x14ac:dyDescent="1.05">
      <c r="A14" s="81"/>
      <c r="B14" s="84" t="s">
        <v>212</v>
      </c>
      <c r="C14" s="84" t="s">
        <v>214</v>
      </c>
      <c r="D14" s="84" t="s">
        <v>213</v>
      </c>
      <c r="E14" s="84" t="s">
        <v>215</v>
      </c>
      <c r="F14" s="84" t="s">
        <v>216</v>
      </c>
      <c r="G14" s="84" t="s">
        <v>406</v>
      </c>
      <c r="H14" s="84" t="s">
        <v>418</v>
      </c>
      <c r="I14" s="84">
        <v>2018</v>
      </c>
      <c r="J14" s="82" t="s">
        <v>339</v>
      </c>
      <c r="K14" s="82"/>
      <c r="L14" s="81"/>
      <c r="M14" s="122" t="s">
        <v>212</v>
      </c>
      <c r="N14" s="122" t="s">
        <v>214</v>
      </c>
      <c r="O14" s="122" t="s">
        <v>213</v>
      </c>
      <c r="P14" s="122" t="s">
        <v>215</v>
      </c>
      <c r="Q14" s="122" t="s">
        <v>216</v>
      </c>
      <c r="R14" s="122" t="s">
        <v>406</v>
      </c>
      <c r="S14" s="122" t="s">
        <v>418</v>
      </c>
      <c r="T14" s="84">
        <v>2017</v>
      </c>
      <c r="U14" s="82" t="s">
        <v>339</v>
      </c>
      <c r="V14" s="81"/>
      <c r="W14" s="82"/>
      <c r="X14" s="84"/>
      <c r="Y14" s="82"/>
      <c r="Z14" s="84"/>
      <c r="AA14" s="82"/>
      <c r="AB14" s="84" t="s">
        <v>338</v>
      </c>
      <c r="AC14" s="84"/>
      <c r="AD14" s="84" t="s">
        <v>339</v>
      </c>
      <c r="AE14" s="84"/>
      <c r="AF14" s="84" t="s">
        <v>339</v>
      </c>
    </row>
    <row r="15" spans="1:32" s="44" customFormat="1" ht="54.9" customHeight="1" x14ac:dyDescent="1.05">
      <c r="A15" s="85" t="s">
        <v>62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5" t="s">
        <v>62</v>
      </c>
      <c r="M15" s="119"/>
      <c r="N15" s="119"/>
      <c r="O15" s="119"/>
      <c r="P15" s="119"/>
      <c r="Q15" s="119"/>
      <c r="R15" s="119"/>
      <c r="S15" s="119"/>
      <c r="T15" s="81"/>
      <c r="U15" s="81"/>
      <c r="V15" s="85" t="s">
        <v>62</v>
      </c>
      <c r="W15" s="81"/>
      <c r="X15" s="81"/>
      <c r="Y15" s="81"/>
      <c r="Z15" s="81"/>
      <c r="AA15" s="81"/>
      <c r="AB15" s="81"/>
      <c r="AC15" s="81"/>
      <c r="AD15" s="109"/>
      <c r="AE15" s="81"/>
      <c r="AF15" s="109"/>
    </row>
    <row r="16" spans="1:32" s="44" customFormat="1" ht="54.9" customHeight="1" x14ac:dyDescent="1.05">
      <c r="A16" s="81" t="s">
        <v>217</v>
      </c>
      <c r="B16" s="86">
        <f>CNT!N107+CNT!N118</f>
        <v>1208781796.5699999</v>
      </c>
      <c r="C16" s="86">
        <f>BPM!N8+BPM!N15</f>
        <v>77671947.450000003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f t="shared" ref="I16:I51" si="0">SUM(B16:H16)</f>
        <v>1286453744.02</v>
      </c>
      <c r="J16" s="87">
        <f>I16/$I$23</f>
        <v>0.26928348250949996</v>
      </c>
      <c r="K16" s="87"/>
      <c r="L16" s="81" t="s">
        <v>217</v>
      </c>
      <c r="M16" s="123">
        <f>1632830369.51+-38554661.62</f>
        <v>1594275707.8900001</v>
      </c>
      <c r="N16" s="123">
        <f>34407411.79-79187.92</f>
        <v>34328223.869999997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86">
        <f>SUM(M16:S16)</f>
        <v>1628603931.76</v>
      </c>
      <c r="U16" s="87">
        <f>T16/$T$23</f>
        <v>0.49917348749520413</v>
      </c>
      <c r="V16" s="81" t="s">
        <v>217</v>
      </c>
      <c r="W16" s="87"/>
      <c r="X16" s="86">
        <f>I16</f>
        <v>1286453744.02</v>
      </c>
      <c r="Y16" s="87"/>
      <c r="Z16" s="86">
        <f>T16</f>
        <v>1628603931.76</v>
      </c>
      <c r="AA16" s="87"/>
      <c r="AB16" s="86">
        <f>I16-T16</f>
        <v>-342150187.74000001</v>
      </c>
      <c r="AC16" s="86"/>
      <c r="AD16" s="87">
        <f>I16/T16</f>
        <v>0.78991197241538946</v>
      </c>
      <c r="AE16" s="86"/>
      <c r="AF16" s="87">
        <f>AD16-1</f>
        <v>-0.21008802758461054</v>
      </c>
    </row>
    <row r="17" spans="1:32" s="44" customFormat="1" ht="54.9" customHeight="1" x14ac:dyDescent="1.05">
      <c r="A17" s="81" t="s">
        <v>218</v>
      </c>
      <c r="B17" s="86">
        <f>CNT!N108+CNT!N119</f>
        <v>3420732836.6400003</v>
      </c>
      <c r="C17" s="86">
        <f>BPM!N9+BPM!N16</f>
        <v>4899871.53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f t="shared" si="0"/>
        <v>3425632708.1700006</v>
      </c>
      <c r="J17" s="87">
        <f t="shared" ref="J17:J22" si="1">I17/$I$23</f>
        <v>0.71706138657724339</v>
      </c>
      <c r="K17" s="87"/>
      <c r="L17" s="81" t="s">
        <v>218</v>
      </c>
      <c r="M17" s="123">
        <f>1599956313.2+-52199146.18</f>
        <v>1547757167.02</v>
      </c>
      <c r="N17" s="123">
        <f>7432775.41-1526.49</f>
        <v>7431248.9199999999</v>
      </c>
      <c r="O17" s="123">
        <v>0</v>
      </c>
      <c r="P17" s="123">
        <v>0</v>
      </c>
      <c r="Q17" s="123">
        <v>0</v>
      </c>
      <c r="R17" s="123">
        <v>0</v>
      </c>
      <c r="S17" s="123">
        <v>0</v>
      </c>
      <c r="T17" s="86">
        <f t="shared" ref="T17:T96" si="2">SUM(M17:S17)</f>
        <v>1555188415.9400001</v>
      </c>
      <c r="U17" s="87">
        <f t="shared" ref="U17:U22" si="3">T17/$T$23</f>
        <v>0.47667134418493656</v>
      </c>
      <c r="V17" s="81" t="s">
        <v>218</v>
      </c>
      <c r="W17" s="87"/>
      <c r="X17" s="86">
        <f t="shared" ref="X17:X83" si="4">I17</f>
        <v>3425632708.1700006</v>
      </c>
      <c r="Y17" s="87"/>
      <c r="Z17" s="86">
        <f t="shared" ref="Z17:Z83" si="5">T17</f>
        <v>1555188415.9400001</v>
      </c>
      <c r="AA17" s="87"/>
      <c r="AB17" s="86">
        <f t="shared" ref="AB17:AB23" si="6">I17-T17</f>
        <v>1870444292.2300005</v>
      </c>
      <c r="AC17" s="86"/>
      <c r="AD17" s="87">
        <f t="shared" ref="AD17:AD22" si="7">I17/T17</f>
        <v>2.2027123357265048</v>
      </c>
      <c r="AE17" s="86"/>
      <c r="AF17" s="87">
        <f t="shared" ref="AF17:AF92" si="8">AD17-1</f>
        <v>1.2027123357265048</v>
      </c>
    </row>
    <row r="18" spans="1:32" s="44" customFormat="1" ht="54.9" customHeight="1" x14ac:dyDescent="1.05">
      <c r="A18" s="81" t="s">
        <v>219</v>
      </c>
      <c r="B18" s="86">
        <f>CNT!N109+CNT!N120</f>
        <v>16763190.700000001</v>
      </c>
      <c r="C18" s="86">
        <f>BPM!N10</f>
        <v>461515.02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f t="shared" si="0"/>
        <v>17224705.720000003</v>
      </c>
      <c r="J18" s="87">
        <f t="shared" si="1"/>
        <v>3.6055153658216522E-3</v>
      </c>
      <c r="K18" s="87"/>
      <c r="L18" s="81" t="s">
        <v>219</v>
      </c>
      <c r="M18" s="123">
        <f>24870817.14+-49623.1</f>
        <v>24821194.039999999</v>
      </c>
      <c r="N18" s="123">
        <v>2026147.61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86">
        <f t="shared" si="2"/>
        <v>26847341.649999999</v>
      </c>
      <c r="U18" s="87">
        <f t="shared" si="3"/>
        <v>8.2288154290055242E-3</v>
      </c>
      <c r="V18" s="81" t="s">
        <v>219</v>
      </c>
      <c r="W18" s="87"/>
      <c r="X18" s="86">
        <f t="shared" si="4"/>
        <v>17224705.720000003</v>
      </c>
      <c r="Y18" s="87"/>
      <c r="Z18" s="86">
        <f t="shared" si="5"/>
        <v>26847341.649999999</v>
      </c>
      <c r="AA18" s="87"/>
      <c r="AB18" s="86">
        <f t="shared" si="6"/>
        <v>-9622635.929999996</v>
      </c>
      <c r="AC18" s="86"/>
      <c r="AD18" s="87">
        <f t="shared" si="7"/>
        <v>0.64157956286893691</v>
      </c>
      <c r="AE18" s="86"/>
      <c r="AF18" s="87">
        <f t="shared" si="8"/>
        <v>-0.35842043713106309</v>
      </c>
    </row>
    <row r="19" spans="1:32" s="44" customFormat="1" ht="54.9" customHeight="1" x14ac:dyDescent="1.05">
      <c r="A19" s="81" t="s">
        <v>421</v>
      </c>
      <c r="B19" s="86">
        <f>CNT!N110+CNT!N121</f>
        <v>21684618.390000001</v>
      </c>
      <c r="C19" s="86">
        <f>BPM!N11</f>
        <v>38676.800000000003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f t="shared" si="0"/>
        <v>21723295.190000001</v>
      </c>
      <c r="J19" s="87">
        <f t="shared" si="1"/>
        <v>4.5471705512437968E-3</v>
      </c>
      <c r="K19" s="87"/>
      <c r="L19" s="81" t="s">
        <v>421</v>
      </c>
      <c r="M19" s="123">
        <f>43805266.73+-790803</f>
        <v>43014463.729999997</v>
      </c>
      <c r="N19" s="123">
        <v>12973.98</v>
      </c>
      <c r="O19" s="123">
        <v>0</v>
      </c>
      <c r="P19" s="123">
        <v>0</v>
      </c>
      <c r="Q19" s="123">
        <v>0</v>
      </c>
      <c r="R19" s="123">
        <v>0</v>
      </c>
      <c r="S19" s="123">
        <v>0</v>
      </c>
      <c r="T19" s="86">
        <f t="shared" si="2"/>
        <v>43027437.709999993</v>
      </c>
      <c r="U19" s="87">
        <f t="shared" si="3"/>
        <v>1.3188078280317263E-2</v>
      </c>
      <c r="V19" s="81" t="s">
        <v>421</v>
      </c>
      <c r="W19" s="87"/>
      <c r="X19" s="86">
        <f t="shared" si="4"/>
        <v>21723295.190000001</v>
      </c>
      <c r="Y19" s="87"/>
      <c r="Z19" s="86">
        <f t="shared" si="5"/>
        <v>43027437.709999993</v>
      </c>
      <c r="AA19" s="87"/>
      <c r="AB19" s="86">
        <f t="shared" si="6"/>
        <v>-21304142.519999992</v>
      </c>
      <c r="AC19" s="86"/>
      <c r="AD19" s="87">
        <f t="shared" si="7"/>
        <v>0.50487076029050404</v>
      </c>
      <c r="AE19" s="86"/>
      <c r="AF19" s="87">
        <f t="shared" si="8"/>
        <v>-0.49512923970949596</v>
      </c>
    </row>
    <row r="20" spans="1:32" s="44" customFormat="1" ht="54.9" customHeight="1" x14ac:dyDescent="1.05">
      <c r="A20" s="81" t="s">
        <v>220</v>
      </c>
      <c r="B20" s="86">
        <f>CNT!N114+CNT!N124</f>
        <v>6725580.9700000007</v>
      </c>
      <c r="C20" s="86">
        <f>0</f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f t="shared" si="0"/>
        <v>6725580.9700000007</v>
      </c>
      <c r="J20" s="87">
        <f t="shared" si="1"/>
        <v>1.4078142132353767E-3</v>
      </c>
      <c r="K20" s="87"/>
      <c r="L20" s="81" t="s">
        <v>220</v>
      </c>
      <c r="M20" s="123">
        <f>1787372+-4425</f>
        <v>1782947</v>
      </c>
      <c r="N20" s="123">
        <f>48903-2300</f>
        <v>46603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86">
        <f t="shared" si="2"/>
        <v>1829550</v>
      </c>
      <c r="U20" s="87">
        <f t="shared" si="3"/>
        <v>5.6076424490754211E-4</v>
      </c>
      <c r="V20" s="81" t="s">
        <v>220</v>
      </c>
      <c r="W20" s="87"/>
      <c r="X20" s="86">
        <f t="shared" si="4"/>
        <v>6725580.9700000007</v>
      </c>
      <c r="Y20" s="87"/>
      <c r="Z20" s="86">
        <f t="shared" si="5"/>
        <v>1829550</v>
      </c>
      <c r="AA20" s="87"/>
      <c r="AB20" s="86">
        <f t="shared" si="6"/>
        <v>4896030.9700000007</v>
      </c>
      <c r="AC20" s="86"/>
      <c r="AD20" s="87">
        <f t="shared" si="7"/>
        <v>3.6760848132054336</v>
      </c>
      <c r="AE20" s="86"/>
      <c r="AF20" s="87">
        <f t="shared" si="8"/>
        <v>2.6760848132054336</v>
      </c>
    </row>
    <row r="21" spans="1:32" s="44" customFormat="1" ht="54.9" customHeight="1" x14ac:dyDescent="1.05">
      <c r="A21" s="81" t="s">
        <v>221</v>
      </c>
      <c r="B21" s="86">
        <f>CNT!N125+CNT!N127+CNT!N126+CNT!N128</f>
        <v>10399858.559999999</v>
      </c>
      <c r="C21" s="86">
        <f>BPM!N12</f>
        <v>4640.01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f t="shared" si="0"/>
        <v>10404498.569999998</v>
      </c>
      <c r="J21" s="87">
        <f t="shared" si="1"/>
        <v>2.1778937810383908E-3</v>
      </c>
      <c r="K21" s="87"/>
      <c r="L21" s="81" t="s">
        <v>221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86">
        <f t="shared" si="2"/>
        <v>0</v>
      </c>
      <c r="U21" s="87">
        <f t="shared" si="3"/>
        <v>0</v>
      </c>
      <c r="V21" s="81" t="s">
        <v>221</v>
      </c>
      <c r="W21" s="87"/>
      <c r="X21" s="86">
        <f t="shared" si="4"/>
        <v>10404498.569999998</v>
      </c>
      <c r="Y21" s="87"/>
      <c r="Z21" s="86">
        <f t="shared" si="5"/>
        <v>0</v>
      </c>
      <c r="AA21" s="87"/>
      <c r="AB21" s="86">
        <f t="shared" si="6"/>
        <v>10404498.569999998</v>
      </c>
      <c r="AC21" s="86"/>
      <c r="AD21" s="104">
        <v>0</v>
      </c>
      <c r="AE21" s="86"/>
      <c r="AF21" s="104">
        <v>0</v>
      </c>
    </row>
    <row r="22" spans="1:32" s="44" customFormat="1" ht="54.9" customHeight="1" x14ac:dyDescent="1.05">
      <c r="A22" s="81" t="s">
        <v>222</v>
      </c>
      <c r="B22" s="86">
        <f>CNT!N112+CNT!N113+CNT!N115+CNT!N116+CNT!N117+CNT!N111+CNT!N123</f>
        <v>1205594.0499999998</v>
      </c>
      <c r="C22" s="86">
        <f>BPM!N14+BPM!N13</f>
        <v>3537678.12</v>
      </c>
      <c r="D22" s="86">
        <f>DEP!N17</f>
        <v>3620725.9899999998</v>
      </c>
      <c r="E22" s="86">
        <v>0</v>
      </c>
      <c r="F22" s="86">
        <f>'BSC (Dome)'!N14</f>
        <v>792870.54000000015</v>
      </c>
      <c r="G22" s="86">
        <v>0</v>
      </c>
      <c r="H22" s="86">
        <v>0</v>
      </c>
      <c r="I22" s="86">
        <f t="shared" si="0"/>
        <v>9156868.7000000011</v>
      </c>
      <c r="J22" s="87">
        <f t="shared" si="1"/>
        <v>1.9167370019173447E-3</v>
      </c>
      <c r="K22" s="87"/>
      <c r="L22" s="81" t="s">
        <v>222</v>
      </c>
      <c r="M22" s="123">
        <f>1596.25+1439023.36+20000+457921.54+62002.87+271750.28-1807.5</f>
        <v>2250486.8000000003</v>
      </c>
      <c r="N22" s="123">
        <f>192+60247.57+1576425.08</f>
        <v>1636864.6500000001</v>
      </c>
      <c r="O22" s="123">
        <v>2390338.6800000002</v>
      </c>
      <c r="P22" s="123">
        <v>0</v>
      </c>
      <c r="Q22" s="123">
        <v>826657.42</v>
      </c>
      <c r="R22" s="123">
        <v>0</v>
      </c>
      <c r="S22" s="123">
        <v>0</v>
      </c>
      <c r="T22" s="86">
        <f>SUM(M22:S22)</f>
        <v>7104347.5500000007</v>
      </c>
      <c r="U22" s="87">
        <f t="shared" si="3"/>
        <v>2.1775103656289782E-3</v>
      </c>
      <c r="V22" s="81" t="s">
        <v>222</v>
      </c>
      <c r="W22" s="87"/>
      <c r="X22" s="86">
        <f t="shared" si="4"/>
        <v>9156868.7000000011</v>
      </c>
      <c r="Y22" s="87"/>
      <c r="Z22" s="86">
        <f t="shared" si="5"/>
        <v>7104347.5500000007</v>
      </c>
      <c r="AA22" s="87"/>
      <c r="AB22" s="86">
        <f t="shared" si="6"/>
        <v>2052521.1500000004</v>
      </c>
      <c r="AC22" s="86"/>
      <c r="AD22" s="87">
        <f t="shared" si="7"/>
        <v>1.2889105770170268</v>
      </c>
      <c r="AE22" s="86"/>
      <c r="AF22" s="87">
        <f t="shared" si="8"/>
        <v>0.28891057701702683</v>
      </c>
    </row>
    <row r="23" spans="1:32" s="44" customFormat="1" ht="54.9" customHeight="1" x14ac:dyDescent="1.05">
      <c r="A23" s="85" t="s">
        <v>223</v>
      </c>
      <c r="B23" s="88">
        <f>SUM(B16:B22)</f>
        <v>4686293475.8800011</v>
      </c>
      <c r="C23" s="88">
        <f>SUM(C16:C22)</f>
        <v>86614328.930000007</v>
      </c>
      <c r="D23" s="88">
        <f t="shared" ref="D23:H23" si="9">SUM(D16:D22)</f>
        <v>3620725.9899999998</v>
      </c>
      <c r="E23" s="88">
        <f t="shared" si="9"/>
        <v>0</v>
      </c>
      <c r="F23" s="88">
        <f>SUM(F16:F22)</f>
        <v>792870.54000000015</v>
      </c>
      <c r="G23" s="88">
        <f>SUM(G16:G22)</f>
        <v>0</v>
      </c>
      <c r="H23" s="88">
        <f t="shared" si="9"/>
        <v>0</v>
      </c>
      <c r="I23" s="88">
        <f t="shared" si="0"/>
        <v>4777321401.3400011</v>
      </c>
      <c r="J23" s="89">
        <f>SUM(J16:J22)</f>
        <v>0.99999999999999978</v>
      </c>
      <c r="K23" s="87"/>
      <c r="L23" s="85" t="s">
        <v>223</v>
      </c>
      <c r="M23" s="124">
        <f>SUM(M16:M22)</f>
        <v>3213901966.48</v>
      </c>
      <c r="N23" s="124">
        <f t="shared" ref="N23:S23" si="10">SUM(N16:N22)</f>
        <v>45482062.029999994</v>
      </c>
      <c r="O23" s="124">
        <f t="shared" si="10"/>
        <v>2390338.6800000002</v>
      </c>
      <c r="P23" s="124">
        <f t="shared" si="10"/>
        <v>0</v>
      </c>
      <c r="Q23" s="124">
        <f>SUM(Q16:Q22)</f>
        <v>826657.42</v>
      </c>
      <c r="R23" s="124">
        <f>SUM(R16:R22)</f>
        <v>0</v>
      </c>
      <c r="S23" s="124">
        <f t="shared" si="10"/>
        <v>0</v>
      </c>
      <c r="T23" s="88">
        <f t="shared" si="2"/>
        <v>3262601024.6100001</v>
      </c>
      <c r="U23" s="89">
        <f>SUM(U16:U22)</f>
        <v>1.0000000000000002</v>
      </c>
      <c r="V23" s="85" t="s">
        <v>223</v>
      </c>
      <c r="W23" s="87"/>
      <c r="X23" s="88">
        <f t="shared" si="4"/>
        <v>4777321401.3400011</v>
      </c>
      <c r="Y23" s="87"/>
      <c r="Z23" s="88">
        <f t="shared" si="5"/>
        <v>3262601024.6100001</v>
      </c>
      <c r="AA23" s="87"/>
      <c r="AB23" s="88">
        <f t="shared" si="6"/>
        <v>1514720376.730001</v>
      </c>
      <c r="AC23" s="88"/>
      <c r="AD23" s="89">
        <f>I23/T23</f>
        <v>1.4642677315750139</v>
      </c>
      <c r="AE23" s="88"/>
      <c r="AF23" s="89">
        <f t="shared" si="8"/>
        <v>0.46426773157501389</v>
      </c>
    </row>
    <row r="24" spans="1:32" s="44" customFormat="1" ht="54.9" customHeight="1" x14ac:dyDescent="1.05">
      <c r="A24" s="81"/>
      <c r="B24" s="86"/>
      <c r="C24" s="86"/>
      <c r="D24" s="86"/>
      <c r="E24" s="86"/>
      <c r="F24" s="86"/>
      <c r="G24" s="86"/>
      <c r="H24" s="86"/>
      <c r="I24" s="86">
        <f t="shared" si="0"/>
        <v>0</v>
      </c>
      <c r="J24" s="81"/>
      <c r="K24" s="81"/>
      <c r="L24" s="81"/>
      <c r="M24" s="123"/>
      <c r="N24" s="123"/>
      <c r="O24" s="123"/>
      <c r="P24" s="123"/>
      <c r="Q24" s="123"/>
      <c r="R24" s="123"/>
      <c r="S24" s="123"/>
      <c r="T24" s="86">
        <f t="shared" si="2"/>
        <v>0</v>
      </c>
      <c r="U24" s="81"/>
      <c r="V24" s="81"/>
      <c r="W24" s="81"/>
      <c r="X24" s="86"/>
      <c r="Y24" s="81"/>
      <c r="Z24" s="86">
        <f t="shared" si="5"/>
        <v>0</v>
      </c>
      <c r="AA24" s="81"/>
      <c r="AB24" s="86"/>
      <c r="AC24" s="86"/>
      <c r="AD24" s="111"/>
      <c r="AE24" s="86"/>
      <c r="AF24" s="111"/>
    </row>
    <row r="25" spans="1:32" s="44" customFormat="1" ht="54.9" customHeight="1" x14ac:dyDescent="1.05">
      <c r="A25" s="85" t="s">
        <v>208</v>
      </c>
      <c r="B25" s="86"/>
      <c r="C25" s="86"/>
      <c r="D25" s="86"/>
      <c r="E25" s="86"/>
      <c r="F25" s="86"/>
      <c r="G25" s="86"/>
      <c r="H25" s="86"/>
      <c r="I25" s="86">
        <f t="shared" si="0"/>
        <v>0</v>
      </c>
      <c r="J25" s="81"/>
      <c r="K25" s="81"/>
      <c r="L25" s="85" t="s">
        <v>208</v>
      </c>
      <c r="M25" s="123"/>
      <c r="N25" s="123"/>
      <c r="O25" s="123"/>
      <c r="P25" s="123"/>
      <c r="Q25" s="123"/>
      <c r="R25" s="123"/>
      <c r="S25" s="123"/>
      <c r="T25" s="86">
        <f t="shared" si="2"/>
        <v>0</v>
      </c>
      <c r="U25" s="81"/>
      <c r="V25" s="85" t="s">
        <v>208</v>
      </c>
      <c r="W25" s="81"/>
      <c r="X25" s="86"/>
      <c r="Y25" s="81"/>
      <c r="Z25" s="86">
        <f t="shared" si="5"/>
        <v>0</v>
      </c>
      <c r="AA25" s="81"/>
      <c r="AB25" s="86"/>
      <c r="AC25" s="86"/>
      <c r="AD25" s="111"/>
      <c r="AE25" s="86"/>
      <c r="AF25" s="111"/>
    </row>
    <row r="26" spans="1:32" s="44" customFormat="1" ht="54.9" customHeight="1" x14ac:dyDescent="1.05">
      <c r="A26" s="81" t="s">
        <v>217</v>
      </c>
      <c r="B26" s="86">
        <f>CNT!N133+CNT!N138+CNT!N150+CNT!N154+CNT!N155+CNT!N159+CNT!N163+CNT!N170</f>
        <v>1224955378.6800001</v>
      </c>
      <c r="C26" s="86">
        <f>BPM!N20+BPM!N31</f>
        <v>77323651.609999999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f t="shared" si="0"/>
        <v>1302279030.29</v>
      </c>
      <c r="J26" s="87">
        <f t="shared" ref="J26:J33" si="11">I26/$I$34</f>
        <v>0.27320982087841245</v>
      </c>
      <c r="K26" s="87"/>
      <c r="L26" s="81" t="s">
        <v>217</v>
      </c>
      <c r="M26" s="123">
        <f>1584362996.46+445814584.63+-448325325.17+2886861421.54+-1083876.56+7191719.33-2894888352.92</f>
        <v>1579933167.3099995</v>
      </c>
      <c r="N26" s="123">
        <f>33938102.54+13458.68+606.81</f>
        <v>33952168.030000001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86">
        <f t="shared" si="2"/>
        <v>1613885335.3399994</v>
      </c>
      <c r="U26" s="87">
        <f t="shared" ref="U26:U33" si="12">T26/$T$34</f>
        <v>0.49553378027298017</v>
      </c>
      <c r="V26" s="81" t="s">
        <v>217</v>
      </c>
      <c r="W26" s="87"/>
      <c r="X26" s="86">
        <f t="shared" si="4"/>
        <v>1302279030.29</v>
      </c>
      <c r="Y26" s="87"/>
      <c r="Z26" s="86">
        <f t="shared" si="5"/>
        <v>1613885335.3399994</v>
      </c>
      <c r="AA26" s="87"/>
      <c r="AB26" s="86">
        <f>I26-T26</f>
        <v>-311606305.04999948</v>
      </c>
      <c r="AC26" s="86"/>
      <c r="AD26" s="87">
        <f>I26/T26</f>
        <v>0.80692165779897063</v>
      </c>
      <c r="AE26" s="86"/>
      <c r="AF26" s="87">
        <f t="shared" si="8"/>
        <v>-0.19307834220102937</v>
      </c>
    </row>
    <row r="27" spans="1:32" s="44" customFormat="1" ht="54.9" customHeight="1" x14ac:dyDescent="1.05">
      <c r="A27" s="81" t="s">
        <v>218</v>
      </c>
      <c r="B27" s="86">
        <f>CNT!N134+CNT!N139+CNT!N151+CNT!N156+CNT!N160+CNT!N164+CNT!N167+CNT!N171</f>
        <v>3415334576.23</v>
      </c>
      <c r="C27" s="86">
        <f>BPM!N21+BPM!N32</f>
        <v>4598035.9400000004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f t="shared" si="0"/>
        <v>3419932612.1700001</v>
      </c>
      <c r="J27" s="87">
        <f t="shared" si="11"/>
        <v>0.71748001361823188</v>
      </c>
      <c r="K27" s="87"/>
      <c r="L27" s="81" t="s">
        <v>218</v>
      </c>
      <c r="M27" s="123">
        <f>1550707883.4+950249746.92+-950101074.64+10230078825.38+705269.34+-10225069928.39+-3522083.43</f>
        <v>1553048638.5800002</v>
      </c>
      <c r="N27" s="123">
        <f>7290649.39+156.76-93097.2</f>
        <v>7197708.9499999993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86">
        <f t="shared" si="2"/>
        <v>1560246347.5300002</v>
      </c>
      <c r="U27" s="87">
        <f t="shared" si="12"/>
        <v>0.47906425185142998</v>
      </c>
      <c r="V27" s="81" t="s">
        <v>218</v>
      </c>
      <c r="W27" s="87"/>
      <c r="X27" s="86">
        <f t="shared" si="4"/>
        <v>3419932612.1700001</v>
      </c>
      <c r="Y27" s="87"/>
      <c r="Z27" s="86">
        <f t="shared" si="5"/>
        <v>1560246347.5300002</v>
      </c>
      <c r="AA27" s="87"/>
      <c r="AB27" s="86">
        <f t="shared" ref="AB27:AB33" si="13">I27-T27</f>
        <v>1859686264.6399999</v>
      </c>
      <c r="AC27" s="86"/>
      <c r="AD27" s="87">
        <f t="shared" ref="AD27:AD33" si="14">I27/T27</f>
        <v>2.1919183580106041</v>
      </c>
      <c r="AE27" s="86"/>
      <c r="AF27" s="87">
        <f t="shared" si="8"/>
        <v>1.1919183580106041</v>
      </c>
    </row>
    <row r="28" spans="1:32" s="44" customFormat="1" ht="54.9" customHeight="1" x14ac:dyDescent="1.05">
      <c r="A28" s="81" t="s">
        <v>219</v>
      </c>
      <c r="B28" s="86">
        <f>CNT!N135+CNT!N140+CNT!N152+CNT!N157+CNT!N161+CNT!N165+CNT!N169+CNT!N172</f>
        <v>16027975.710000005</v>
      </c>
      <c r="C28" s="86">
        <f>BPM!N22+BPM!N33</f>
        <v>437453.97000000003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f t="shared" si="0"/>
        <v>16465429.680000005</v>
      </c>
      <c r="J28" s="87">
        <f t="shared" si="11"/>
        <v>3.4543419566213382E-3</v>
      </c>
      <c r="K28" s="87"/>
      <c r="L28" s="81" t="s">
        <v>219</v>
      </c>
      <c r="M28" s="123">
        <f>24724094.02+7283565+-7396217.5+9667906.45+-26366.79+-18964.49</f>
        <v>34234016.689999998</v>
      </c>
      <c r="N28" s="123">
        <f>1947622.32+2633.85</f>
        <v>1950256.1700000002</v>
      </c>
      <c r="O28" s="123">
        <v>0</v>
      </c>
      <c r="P28" s="123">
        <v>0</v>
      </c>
      <c r="Q28" s="123">
        <v>0</v>
      </c>
      <c r="R28" s="123">
        <v>0</v>
      </c>
      <c r="S28" s="123">
        <v>0</v>
      </c>
      <c r="T28" s="86">
        <f t="shared" si="2"/>
        <v>36184272.859999999</v>
      </c>
      <c r="U28" s="87">
        <f t="shared" si="12"/>
        <v>1.1110163234098257E-2</v>
      </c>
      <c r="V28" s="81" t="s">
        <v>219</v>
      </c>
      <c r="W28" s="87"/>
      <c r="X28" s="86">
        <f t="shared" si="4"/>
        <v>16465429.680000005</v>
      </c>
      <c r="Y28" s="87"/>
      <c r="Z28" s="86">
        <f t="shared" si="5"/>
        <v>36184272.859999999</v>
      </c>
      <c r="AA28" s="87"/>
      <c r="AB28" s="86">
        <f>I28-T28</f>
        <v>-19718843.179999992</v>
      </c>
      <c r="AC28" s="86"/>
      <c r="AD28" s="87">
        <f t="shared" si="14"/>
        <v>0.45504381817222472</v>
      </c>
      <c r="AE28" s="86"/>
      <c r="AF28" s="87">
        <f t="shared" si="8"/>
        <v>-0.54495618182777528</v>
      </c>
    </row>
    <row r="29" spans="1:32" s="44" customFormat="1" ht="54.9" customHeight="1" x14ac:dyDescent="1.05">
      <c r="A29" s="81" t="s">
        <v>421</v>
      </c>
      <c r="B29" s="86">
        <f>CNT!N136+CNT!N141+CNT!N153+CNT!N158+CNT!N162+CNT!N166+CNT!N173+CNT!N174</f>
        <v>21830823.120000005</v>
      </c>
      <c r="C29" s="86">
        <f>BPM!N23</f>
        <v>30798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f t="shared" si="0"/>
        <v>21861621.120000005</v>
      </c>
      <c r="J29" s="87">
        <f t="shared" si="11"/>
        <v>4.5864284468873431E-3</v>
      </c>
      <c r="K29" s="87"/>
      <c r="L29" s="81" t="s">
        <v>421</v>
      </c>
      <c r="M29" s="123">
        <f>42073380.32+153873.75+-157755+-116735.65+1105021+7895941.31</f>
        <v>50953725.730000004</v>
      </c>
      <c r="N29" s="123">
        <f>12072.65-65</f>
        <v>12007.65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86">
        <f t="shared" si="2"/>
        <v>50965733.380000003</v>
      </c>
      <c r="U29" s="87">
        <f t="shared" si="12"/>
        <v>1.5648721735770438E-2</v>
      </c>
      <c r="V29" s="81" t="s">
        <v>421</v>
      </c>
      <c r="W29" s="87"/>
      <c r="X29" s="86">
        <f t="shared" si="4"/>
        <v>21861621.120000005</v>
      </c>
      <c r="Y29" s="87"/>
      <c r="Z29" s="86">
        <f t="shared" si="5"/>
        <v>50965733.380000003</v>
      </c>
      <c r="AA29" s="87"/>
      <c r="AB29" s="86">
        <f t="shared" si="13"/>
        <v>-29104112.259999998</v>
      </c>
      <c r="AC29" s="86"/>
      <c r="AD29" s="87">
        <f t="shared" si="14"/>
        <v>0.42894744508040283</v>
      </c>
      <c r="AE29" s="86"/>
      <c r="AF29" s="87">
        <f t="shared" si="8"/>
        <v>-0.57105255491959717</v>
      </c>
    </row>
    <row r="30" spans="1:32" s="44" customFormat="1" ht="54.9" customHeight="1" x14ac:dyDescent="1.05">
      <c r="A30" s="81" t="s">
        <v>220</v>
      </c>
      <c r="B30" s="86">
        <f>CNT!N137+CNT!N144+CNT!N168+CNT!N179</f>
        <v>6534977.7699999986</v>
      </c>
      <c r="C30" s="86">
        <f>0</f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f t="shared" si="0"/>
        <v>6534977.7699999986</v>
      </c>
      <c r="J30" s="87">
        <f t="shared" si="11"/>
        <v>1.3709965871050828E-3</v>
      </c>
      <c r="K30" s="87"/>
      <c r="L30" s="81" t="s">
        <v>220</v>
      </c>
      <c r="M30" s="123">
        <f>1678935.62+20151.58</f>
        <v>1699087.2000000002</v>
      </c>
      <c r="N30" s="123">
        <f>43641+168</f>
        <v>43809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86">
        <f t="shared" si="2"/>
        <v>1742896.2000000002</v>
      </c>
      <c r="U30" s="87">
        <f t="shared" si="12"/>
        <v>5.3514578991292652E-4</v>
      </c>
      <c r="V30" s="81" t="s">
        <v>220</v>
      </c>
      <c r="W30" s="87"/>
      <c r="X30" s="86">
        <f t="shared" si="4"/>
        <v>6534977.7699999986</v>
      </c>
      <c r="Y30" s="87"/>
      <c r="Z30" s="86">
        <f t="shared" si="5"/>
        <v>1742896.2000000002</v>
      </c>
      <c r="AA30" s="87"/>
      <c r="AB30" s="86">
        <f t="shared" si="13"/>
        <v>4792081.5699999984</v>
      </c>
      <c r="AC30" s="86"/>
      <c r="AD30" s="87">
        <f t="shared" si="14"/>
        <v>3.7494933834843396</v>
      </c>
      <c r="AE30" s="86"/>
      <c r="AF30" s="87">
        <f t="shared" si="8"/>
        <v>2.7494933834843396</v>
      </c>
    </row>
    <row r="31" spans="1:32" s="44" customFormat="1" ht="54.9" customHeight="1" x14ac:dyDescent="1.05">
      <c r="A31" s="81" t="s">
        <v>221</v>
      </c>
      <c r="B31" s="86">
        <f>CNT!N190+CNT!N191+CNT!N192+CNT!N193+CNT!N194+CNT!N195+CNT!N196+CNT!N197+CNT!N198</f>
        <v>10189250</v>
      </c>
      <c r="C31" s="86">
        <f>BPM!N25</f>
        <v>3516.5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f t="shared" si="0"/>
        <v>10192766.5</v>
      </c>
      <c r="J31" s="87">
        <f t="shared" si="11"/>
        <v>2.1383772946880313E-3</v>
      </c>
      <c r="K31" s="87"/>
      <c r="L31" s="81" t="s">
        <v>221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86">
        <f t="shared" si="2"/>
        <v>0</v>
      </c>
      <c r="U31" s="87">
        <f t="shared" si="12"/>
        <v>0</v>
      </c>
      <c r="V31" s="81" t="s">
        <v>221</v>
      </c>
      <c r="W31" s="87"/>
      <c r="X31" s="86">
        <f t="shared" si="4"/>
        <v>10192766.5</v>
      </c>
      <c r="Y31" s="87"/>
      <c r="Z31" s="86">
        <f t="shared" si="5"/>
        <v>0</v>
      </c>
      <c r="AA31" s="87"/>
      <c r="AB31" s="86">
        <f t="shared" si="13"/>
        <v>10192766.5</v>
      </c>
      <c r="AC31" s="86"/>
      <c r="AD31" s="104">
        <v>0</v>
      </c>
      <c r="AE31" s="86"/>
      <c r="AF31" s="104">
        <v>0</v>
      </c>
    </row>
    <row r="32" spans="1:32" s="44" customFormat="1" ht="54.9" customHeight="1" x14ac:dyDescent="1.05">
      <c r="A32" s="81" t="s">
        <v>222</v>
      </c>
      <c r="B32" s="86">
        <f>CNT!N131+CNT!N142+CNT!N143+CNT!N145+CNT!N148+CNT!N149+CNT!N178+CNT!N176+CNT!N177+CNT!N180+CNT!N181+CNT!N182+CNT!N183+CNT!N184+CNT!N185+CNT!N186+CNT!N187+CNT!N188+CNT!N189+CNT!N175</f>
        <v>-14135039.560000002</v>
      </c>
      <c r="C32" s="86">
        <f>BPM!N26+BPM!N27+BPM!N28+BPM!N29+BPM!N30+BPM!N34+BPM!N35+BPM!N24</f>
        <v>2936223.2700000005</v>
      </c>
      <c r="D32" s="86">
        <f>DEP!N23</f>
        <v>519827.81000000006</v>
      </c>
      <c r="E32" s="86">
        <v>0</v>
      </c>
      <c r="F32" s="86">
        <f>'BSC (Dome)'!N17</f>
        <v>1929.4099999999999</v>
      </c>
      <c r="G32" s="86">
        <v>0</v>
      </c>
      <c r="H32" s="86">
        <v>0</v>
      </c>
      <c r="I32" s="86">
        <f t="shared" ref="I32" si="15">SUM(B32:H32)</f>
        <v>-10677059.070000002</v>
      </c>
      <c r="J32" s="87">
        <f t="shared" si="11"/>
        <v>-2.23997878194609E-3</v>
      </c>
      <c r="K32" s="87"/>
      <c r="L32" s="81" t="s">
        <v>222</v>
      </c>
      <c r="M32" s="123">
        <f>-33263.76+1005.6+1303472.31+1690616.89+56373.86+4373.6+3712040.52+-9748905+-8335205.55+9+67830.25+232912.47+2378487.53+342750.66+4852+28557.75+175218.46+2824.22+-16679.96+651.51+-377.5-3712040.52</f>
        <v>-11844495.660000002</v>
      </c>
      <c r="N32" s="123">
        <f>59900.94+241841.05+-5692.73+2936.98+820.8+816795.58+460911.88</f>
        <v>1577514.5</v>
      </c>
      <c r="O32" s="123">
        <v>391100.86</v>
      </c>
      <c r="P32" s="123">
        <v>0</v>
      </c>
      <c r="Q32" s="123">
        <v>1651.32</v>
      </c>
      <c r="R32" s="123">
        <v>0</v>
      </c>
      <c r="S32" s="123">
        <v>0</v>
      </c>
      <c r="T32" s="86">
        <f t="shared" ref="T32" si="16">SUM(M32:S32)</f>
        <v>-9874228.9800000023</v>
      </c>
      <c r="U32" s="87">
        <f t="shared" si="12"/>
        <v>-3.0318225877612281E-3</v>
      </c>
      <c r="V32" s="81" t="s">
        <v>222</v>
      </c>
      <c r="W32" s="87"/>
      <c r="X32" s="86">
        <f t="shared" ref="X32" si="17">I32</f>
        <v>-10677059.070000002</v>
      </c>
      <c r="Y32" s="87"/>
      <c r="Z32" s="86">
        <f t="shared" ref="Z32" si="18">T32</f>
        <v>-9874228.9800000023</v>
      </c>
      <c r="AA32" s="87"/>
      <c r="AB32" s="86">
        <f t="shared" ref="AB32" si="19">I32-T32</f>
        <v>-802830.08999999985</v>
      </c>
      <c r="AC32" s="86"/>
      <c r="AD32" s="87">
        <f t="shared" ref="AD32" si="20">I32/T32</f>
        <v>1.0813055977966595</v>
      </c>
      <c r="AE32" s="86"/>
      <c r="AF32" s="87">
        <f t="shared" ref="AF32" si="21">AD32-1</f>
        <v>8.1305597796659468E-2</v>
      </c>
    </row>
    <row r="33" spans="1:32" s="44" customFormat="1" ht="54.9" customHeight="1" x14ac:dyDescent="1.05">
      <c r="A33" s="81" t="s">
        <v>541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f t="shared" si="0"/>
        <v>0</v>
      </c>
      <c r="J33" s="87">
        <f t="shared" si="11"/>
        <v>0</v>
      </c>
      <c r="K33" s="87"/>
      <c r="L33" s="81" t="s">
        <v>541</v>
      </c>
      <c r="M33" s="123">
        <v>3712040.52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86">
        <f t="shared" si="2"/>
        <v>3712040.52</v>
      </c>
      <c r="U33" s="87">
        <f t="shared" si="12"/>
        <v>1.139759703569375E-3</v>
      </c>
      <c r="V33" s="81" t="s">
        <v>222</v>
      </c>
      <c r="W33" s="87"/>
      <c r="X33" s="86">
        <f t="shared" si="4"/>
        <v>0</v>
      </c>
      <c r="Y33" s="87"/>
      <c r="Z33" s="86">
        <f t="shared" si="5"/>
        <v>3712040.52</v>
      </c>
      <c r="AA33" s="87"/>
      <c r="AB33" s="86">
        <f t="shared" si="13"/>
        <v>-3712040.52</v>
      </c>
      <c r="AC33" s="86"/>
      <c r="AD33" s="87">
        <f t="shared" si="14"/>
        <v>0</v>
      </c>
      <c r="AE33" s="86"/>
      <c r="AF33" s="87">
        <f t="shared" si="8"/>
        <v>-1</v>
      </c>
    </row>
    <row r="34" spans="1:32" s="44" customFormat="1" ht="54.9" customHeight="1" x14ac:dyDescent="1.05">
      <c r="A34" s="85" t="s">
        <v>224</v>
      </c>
      <c r="B34" s="88">
        <f>SUM(B26:B33)</f>
        <v>4680737941.9499998</v>
      </c>
      <c r="C34" s="88">
        <f t="shared" ref="C34:H34" si="22">SUM(C26:C33)</f>
        <v>85329679.289999992</v>
      </c>
      <c r="D34" s="88">
        <f t="shared" si="22"/>
        <v>519827.81000000006</v>
      </c>
      <c r="E34" s="88">
        <f t="shared" si="22"/>
        <v>0</v>
      </c>
      <c r="F34" s="88">
        <f>SUM(F26:F33)</f>
        <v>1929.4099999999999</v>
      </c>
      <c r="G34" s="88">
        <f>SUM(G26:G33)</f>
        <v>0</v>
      </c>
      <c r="H34" s="88">
        <f t="shared" si="22"/>
        <v>0</v>
      </c>
      <c r="I34" s="88">
        <f t="shared" si="0"/>
        <v>4766589378.46</v>
      </c>
      <c r="J34" s="89">
        <f>SUM(J26:J33)</f>
        <v>1.0000000000000002</v>
      </c>
      <c r="K34" s="87"/>
      <c r="L34" s="85" t="s">
        <v>224</v>
      </c>
      <c r="M34" s="124">
        <f>SUM(M26:M33)</f>
        <v>3211736180.3699994</v>
      </c>
      <c r="N34" s="124">
        <f t="shared" ref="N34:S34" si="23">SUM(N26:N33)</f>
        <v>44733464.300000004</v>
      </c>
      <c r="O34" s="124">
        <f t="shared" si="23"/>
        <v>391100.86</v>
      </c>
      <c r="P34" s="124">
        <f t="shared" si="23"/>
        <v>0</v>
      </c>
      <c r="Q34" s="124">
        <f>SUM(Q26:Q33)</f>
        <v>1651.32</v>
      </c>
      <c r="R34" s="124">
        <f>SUM(R26:R33)</f>
        <v>0</v>
      </c>
      <c r="S34" s="124">
        <f t="shared" si="23"/>
        <v>0</v>
      </c>
      <c r="T34" s="88">
        <f t="shared" si="2"/>
        <v>3256862396.8499999</v>
      </c>
      <c r="U34" s="89">
        <f>SUM(U26:U33)</f>
        <v>1</v>
      </c>
      <c r="V34" s="85" t="s">
        <v>224</v>
      </c>
      <c r="W34" s="87"/>
      <c r="X34" s="88">
        <f t="shared" si="4"/>
        <v>4766589378.46</v>
      </c>
      <c r="Y34" s="87"/>
      <c r="Z34" s="88">
        <f t="shared" si="5"/>
        <v>3256862396.8499999</v>
      </c>
      <c r="AA34" s="87"/>
      <c r="AB34" s="88">
        <f>SUM(AB26:AB33)</f>
        <v>1509726981.6100004</v>
      </c>
      <c r="AC34" s="88"/>
      <c r="AD34" s="89">
        <f>I34/T34</f>
        <v>1.463552584558129</v>
      </c>
      <c r="AE34" s="88"/>
      <c r="AF34" s="89">
        <f t="shared" si="8"/>
        <v>0.46355258455812898</v>
      </c>
    </row>
    <row r="35" spans="1:32" s="44" customFormat="1" ht="54.9" customHeight="1" x14ac:dyDescent="1.05">
      <c r="A35" s="81"/>
      <c r="B35" s="86"/>
      <c r="C35" s="86"/>
      <c r="D35" s="86"/>
      <c r="E35" s="86"/>
      <c r="F35" s="86"/>
      <c r="G35" s="86"/>
      <c r="H35" s="86"/>
      <c r="I35" s="86"/>
      <c r="J35" s="81"/>
      <c r="K35" s="81"/>
      <c r="L35" s="81"/>
      <c r="M35" s="123"/>
      <c r="N35" s="123"/>
      <c r="O35" s="123"/>
      <c r="P35" s="123"/>
      <c r="Q35" s="123"/>
      <c r="R35" s="123"/>
      <c r="S35" s="123"/>
      <c r="T35" s="86"/>
      <c r="U35" s="81"/>
      <c r="V35" s="81"/>
      <c r="W35" s="81"/>
      <c r="X35" s="86"/>
      <c r="Y35" s="81"/>
      <c r="Z35" s="86"/>
      <c r="AA35" s="81"/>
      <c r="AB35" s="86"/>
      <c r="AC35" s="86"/>
      <c r="AD35" s="87"/>
      <c r="AE35" s="86"/>
      <c r="AF35" s="87"/>
    </row>
    <row r="36" spans="1:32" s="44" customFormat="1" ht="54.9" customHeight="1" thickBot="1" x14ac:dyDescent="1.1000000000000001">
      <c r="A36" s="85" t="s">
        <v>211</v>
      </c>
      <c r="B36" s="90">
        <f>B23-B34</f>
        <v>5555533.9300012589</v>
      </c>
      <c r="C36" s="90">
        <f t="shared" ref="C36:H36" si="24">C23-C34</f>
        <v>1284649.6400000155</v>
      </c>
      <c r="D36" s="90">
        <f t="shared" si="24"/>
        <v>3100898.1799999997</v>
      </c>
      <c r="E36" s="90">
        <f t="shared" si="24"/>
        <v>0</v>
      </c>
      <c r="F36" s="90">
        <f>F23-F34</f>
        <v>790941.13000000012</v>
      </c>
      <c r="G36" s="90">
        <f>G23-G34</f>
        <v>0</v>
      </c>
      <c r="H36" s="90">
        <f t="shared" si="24"/>
        <v>0</v>
      </c>
      <c r="I36" s="90">
        <f t="shared" si="0"/>
        <v>10732022.880001275</v>
      </c>
      <c r="J36" s="81"/>
      <c r="K36" s="81"/>
      <c r="L36" s="85" t="s">
        <v>211</v>
      </c>
      <c r="M36" s="125">
        <f>M23-M34</f>
        <v>2165786.1100006104</v>
      </c>
      <c r="N36" s="125">
        <f>N23-N34</f>
        <v>748597.72999998927</v>
      </c>
      <c r="O36" s="125">
        <f t="shared" ref="O36:S36" si="25">O23-O34</f>
        <v>1999237.8200000003</v>
      </c>
      <c r="P36" s="125">
        <f t="shared" si="25"/>
        <v>0</v>
      </c>
      <c r="Q36" s="125">
        <f>Q23-Q34</f>
        <v>825006.10000000009</v>
      </c>
      <c r="R36" s="125">
        <f>R23-R34</f>
        <v>0</v>
      </c>
      <c r="S36" s="125">
        <f t="shared" si="25"/>
        <v>0</v>
      </c>
      <c r="T36" s="90">
        <f t="shared" si="2"/>
        <v>5738627.7600005995</v>
      </c>
      <c r="U36" s="81"/>
      <c r="V36" s="85" t="s">
        <v>211</v>
      </c>
      <c r="W36" s="81"/>
      <c r="X36" s="90">
        <f t="shared" si="4"/>
        <v>10732022.880001275</v>
      </c>
      <c r="Y36" s="81"/>
      <c r="Z36" s="90">
        <f t="shared" si="5"/>
        <v>5738627.7600005995</v>
      </c>
      <c r="AA36" s="81"/>
      <c r="AB36" s="90">
        <f>I36-T36</f>
        <v>4993395.1200006753</v>
      </c>
      <c r="AC36" s="90"/>
      <c r="AD36" s="112">
        <f>I36/T36</f>
        <v>1.8701374838782283</v>
      </c>
      <c r="AE36" s="90"/>
      <c r="AF36" s="112">
        <f t="shared" si="8"/>
        <v>0.87013748387822831</v>
      </c>
    </row>
    <row r="37" spans="1:32" s="44" customFormat="1" ht="54.9" customHeight="1" x14ac:dyDescent="1.05">
      <c r="A37" s="81"/>
      <c r="B37" s="86"/>
      <c r="C37" s="86"/>
      <c r="D37" s="86"/>
      <c r="E37" s="86"/>
      <c r="F37" s="86"/>
      <c r="G37" s="86"/>
      <c r="H37" s="86"/>
      <c r="I37" s="86">
        <f t="shared" si="0"/>
        <v>0</v>
      </c>
      <c r="J37" s="81"/>
      <c r="K37" s="81"/>
      <c r="L37" s="81"/>
      <c r="M37" s="123"/>
      <c r="N37" s="123"/>
      <c r="O37" s="123"/>
      <c r="P37" s="123"/>
      <c r="Q37" s="123"/>
      <c r="R37" s="123"/>
      <c r="S37" s="123"/>
      <c r="T37" s="86">
        <f t="shared" si="2"/>
        <v>0</v>
      </c>
      <c r="U37" s="81"/>
      <c r="V37" s="81"/>
      <c r="W37" s="81"/>
      <c r="X37" s="86"/>
      <c r="Y37" s="81"/>
      <c r="Z37" s="86">
        <f t="shared" si="5"/>
        <v>0</v>
      </c>
      <c r="AA37" s="81"/>
      <c r="AB37" s="86"/>
      <c r="AC37" s="86"/>
      <c r="AD37" s="111"/>
      <c r="AE37" s="86"/>
      <c r="AF37" s="111"/>
    </row>
    <row r="38" spans="1:32" s="44" customFormat="1" ht="54.9" customHeight="1" x14ac:dyDescent="1.05">
      <c r="A38" s="85" t="s">
        <v>209</v>
      </c>
      <c r="B38" s="86"/>
      <c r="C38" s="86"/>
      <c r="D38" s="86"/>
      <c r="E38" s="86"/>
      <c r="F38" s="86"/>
      <c r="G38" s="86"/>
      <c r="H38" s="86"/>
      <c r="I38" s="86">
        <f t="shared" si="0"/>
        <v>0</v>
      </c>
      <c r="J38" s="81"/>
      <c r="K38" s="81"/>
      <c r="L38" s="85" t="s">
        <v>209</v>
      </c>
      <c r="M38" s="123"/>
      <c r="N38" s="123"/>
      <c r="O38" s="123"/>
      <c r="P38" s="123"/>
      <c r="Q38" s="123"/>
      <c r="R38" s="123"/>
      <c r="S38" s="123"/>
      <c r="T38" s="86">
        <f t="shared" si="2"/>
        <v>0</v>
      </c>
      <c r="U38" s="81"/>
      <c r="V38" s="85" t="s">
        <v>209</v>
      </c>
      <c r="W38" s="81"/>
      <c r="X38" s="86"/>
      <c r="Y38" s="81"/>
      <c r="Z38" s="86">
        <f t="shared" si="5"/>
        <v>0</v>
      </c>
      <c r="AA38" s="81"/>
      <c r="AB38" s="86"/>
      <c r="AC38" s="86"/>
      <c r="AD38" s="111"/>
      <c r="AE38" s="86"/>
      <c r="AF38" s="111"/>
    </row>
    <row r="39" spans="1:32" s="44" customFormat="1" ht="54.9" customHeight="1" x14ac:dyDescent="1.05">
      <c r="A39" s="81"/>
      <c r="B39" s="86"/>
      <c r="C39" s="86"/>
      <c r="D39" s="86"/>
      <c r="E39" s="86"/>
      <c r="F39" s="86"/>
      <c r="G39" s="86"/>
      <c r="H39" s="86"/>
      <c r="I39" s="86">
        <f t="shared" si="0"/>
        <v>0</v>
      </c>
      <c r="J39" s="81"/>
      <c r="K39" s="81"/>
      <c r="L39" s="81"/>
      <c r="M39" s="123"/>
      <c r="N39" s="123"/>
      <c r="O39" s="123"/>
      <c r="P39" s="123"/>
      <c r="Q39" s="123"/>
      <c r="R39" s="123"/>
      <c r="S39" s="123"/>
      <c r="T39" s="86">
        <f t="shared" si="2"/>
        <v>0</v>
      </c>
      <c r="U39" s="81"/>
      <c r="V39" s="81"/>
      <c r="W39" s="81"/>
      <c r="X39" s="86"/>
      <c r="Y39" s="81"/>
      <c r="Z39" s="86">
        <f t="shared" si="5"/>
        <v>0</v>
      </c>
      <c r="AA39" s="81"/>
      <c r="AB39" s="86"/>
      <c r="AC39" s="86"/>
      <c r="AD39" s="111"/>
      <c r="AE39" s="86"/>
      <c r="AF39" s="111"/>
    </row>
    <row r="40" spans="1:32" s="44" customFormat="1" ht="54.9" customHeight="1" x14ac:dyDescent="1.05">
      <c r="A40" s="85" t="s">
        <v>225</v>
      </c>
      <c r="B40" s="86"/>
      <c r="C40" s="86"/>
      <c r="D40" s="86"/>
      <c r="E40" s="86"/>
      <c r="F40" s="86"/>
      <c r="G40" s="86"/>
      <c r="H40" s="86"/>
      <c r="I40" s="86">
        <f t="shared" si="0"/>
        <v>0</v>
      </c>
      <c r="J40" s="81"/>
      <c r="K40" s="81"/>
      <c r="L40" s="85" t="s">
        <v>225</v>
      </c>
      <c r="M40" s="123"/>
      <c r="N40" s="123"/>
      <c r="O40" s="123"/>
      <c r="P40" s="123"/>
      <c r="Q40" s="123"/>
      <c r="R40" s="123"/>
      <c r="S40" s="123"/>
      <c r="T40" s="86">
        <f t="shared" si="2"/>
        <v>0</v>
      </c>
      <c r="U40" s="81"/>
      <c r="V40" s="85" t="s">
        <v>225</v>
      </c>
      <c r="W40" s="81"/>
      <c r="X40" s="86"/>
      <c r="Y40" s="81"/>
      <c r="Z40" s="86">
        <f t="shared" si="5"/>
        <v>0</v>
      </c>
      <c r="AA40" s="81"/>
      <c r="AB40" s="86"/>
      <c r="AC40" s="86"/>
      <c r="AD40" s="111"/>
      <c r="AE40" s="86"/>
      <c r="AF40" s="111"/>
    </row>
    <row r="41" spans="1:32" s="44" customFormat="1" ht="54.9" customHeight="1" x14ac:dyDescent="1.05">
      <c r="A41" s="81" t="s">
        <v>226</v>
      </c>
      <c r="B41" s="86">
        <f>CNT!N202</f>
        <v>2606742.25</v>
      </c>
      <c r="C41" s="86">
        <f>BPM!N43</f>
        <v>701959.7</v>
      </c>
      <c r="D41" s="86">
        <f>DEP!N29</f>
        <v>848837.41</v>
      </c>
      <c r="E41" s="86">
        <v>0</v>
      </c>
      <c r="F41" s="86">
        <f>'BSC (Dome)'!N24+'BSC (Dome)'!N32</f>
        <v>314439.95999999996</v>
      </c>
      <c r="G41" s="86">
        <v>0</v>
      </c>
      <c r="H41" s="86">
        <v>0</v>
      </c>
      <c r="I41" s="86">
        <f t="shared" si="0"/>
        <v>4471979.32</v>
      </c>
      <c r="J41" s="87">
        <f>I41/$I$51</f>
        <v>0.80582948684171574</v>
      </c>
      <c r="K41" s="87"/>
      <c r="L41" s="81" t="s">
        <v>226</v>
      </c>
      <c r="M41" s="123">
        <v>3778032.89</v>
      </c>
      <c r="N41" s="123">
        <v>0</v>
      </c>
      <c r="O41" s="123">
        <v>136727.20000000001</v>
      </c>
      <c r="P41" s="123">
        <v>0</v>
      </c>
      <c r="Q41" s="123">
        <f>253434.16+72039</f>
        <v>325473.16000000003</v>
      </c>
      <c r="R41" s="123">
        <v>0</v>
      </c>
      <c r="S41" s="123">
        <v>0</v>
      </c>
      <c r="T41" s="86">
        <f t="shared" si="2"/>
        <v>4240233.25</v>
      </c>
      <c r="U41" s="87">
        <f>T41/$T$51</f>
        <v>0.77548778205005786</v>
      </c>
      <c r="V41" s="81" t="s">
        <v>226</v>
      </c>
      <c r="W41" s="87"/>
      <c r="X41" s="86">
        <f t="shared" si="4"/>
        <v>4471979.32</v>
      </c>
      <c r="Y41" s="87"/>
      <c r="Z41" s="86">
        <f t="shared" si="5"/>
        <v>4240233.25</v>
      </c>
      <c r="AA41" s="87"/>
      <c r="AB41" s="86">
        <f>I41-T41</f>
        <v>231746.0700000003</v>
      </c>
      <c r="AC41" s="86"/>
      <c r="AD41" s="87">
        <f>I41/T41</f>
        <v>1.0546540853619315</v>
      </c>
      <c r="AE41" s="86"/>
      <c r="AF41" s="87">
        <f t="shared" si="8"/>
        <v>5.4654085361931504E-2</v>
      </c>
    </row>
    <row r="42" spans="1:32" s="44" customFormat="1" ht="54.9" customHeight="1" x14ac:dyDescent="1.05">
      <c r="A42" s="81" t="s">
        <v>545</v>
      </c>
      <c r="B42" s="86">
        <f>CNT!N203</f>
        <v>286.27999999999997</v>
      </c>
      <c r="C42" s="86"/>
      <c r="D42" s="86"/>
      <c r="E42" s="86"/>
      <c r="F42" s="86">
        <f>'BSC (Dome)'!N25</f>
        <v>5872.5</v>
      </c>
      <c r="G42" s="86"/>
      <c r="H42" s="86"/>
      <c r="I42" s="86">
        <f t="shared" si="0"/>
        <v>6158.78</v>
      </c>
      <c r="J42" s="87">
        <f>I42/$I$51</f>
        <v>1.1097829779255378E-3</v>
      </c>
      <c r="K42" s="87"/>
      <c r="L42" s="81" t="s">
        <v>545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  <c r="T42" s="86">
        <f t="shared" si="2"/>
        <v>0</v>
      </c>
      <c r="U42" s="87">
        <f>T42/$T$51</f>
        <v>0</v>
      </c>
      <c r="V42" s="81" t="s">
        <v>545</v>
      </c>
      <c r="W42" s="87"/>
      <c r="X42" s="86">
        <f t="shared" si="4"/>
        <v>6158.78</v>
      </c>
      <c r="Y42" s="87"/>
      <c r="Z42" s="86">
        <f t="shared" si="5"/>
        <v>0</v>
      </c>
      <c r="AA42" s="87"/>
      <c r="AB42" s="86">
        <f>I42-T42</f>
        <v>6158.78</v>
      </c>
      <c r="AC42" s="86"/>
      <c r="AD42" s="87">
        <v>0</v>
      </c>
      <c r="AE42" s="86"/>
      <c r="AF42" s="87">
        <f t="shared" si="8"/>
        <v>-1</v>
      </c>
    </row>
    <row r="43" spans="1:32" s="44" customFormat="1" ht="54.9" customHeight="1" x14ac:dyDescent="1.05">
      <c r="A43" s="81" t="s">
        <v>227</v>
      </c>
      <c r="B43" s="86">
        <f>CNT!N204</f>
        <v>38281</v>
      </c>
      <c r="C43" s="86">
        <v>0</v>
      </c>
      <c r="D43" s="86">
        <v>0</v>
      </c>
      <c r="E43" s="86">
        <v>0</v>
      </c>
      <c r="F43" s="86">
        <v>0</v>
      </c>
      <c r="G43" s="86">
        <v>0</v>
      </c>
      <c r="H43" s="86">
        <v>0</v>
      </c>
      <c r="I43" s="86">
        <f t="shared" si="0"/>
        <v>38281</v>
      </c>
      <c r="J43" s="87">
        <f t="shared" ref="J43:J50" si="26">I43/$I$51</f>
        <v>6.8980548384529917E-3</v>
      </c>
      <c r="K43" s="87"/>
      <c r="L43" s="81" t="s">
        <v>227</v>
      </c>
      <c r="M43" s="123">
        <v>45842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23">
        <v>0</v>
      </c>
      <c r="T43" s="86">
        <f t="shared" si="2"/>
        <v>45842</v>
      </c>
      <c r="U43" s="87">
        <f t="shared" ref="U43:U50" si="27">T43/$T$51</f>
        <v>8.3839517330181659E-3</v>
      </c>
      <c r="V43" s="81" t="s">
        <v>227</v>
      </c>
      <c r="W43" s="87"/>
      <c r="X43" s="86">
        <f t="shared" si="4"/>
        <v>38281</v>
      </c>
      <c r="Y43" s="87"/>
      <c r="Z43" s="86">
        <f t="shared" si="5"/>
        <v>45842</v>
      </c>
      <c r="AA43" s="87"/>
      <c r="AB43" s="86">
        <f t="shared" ref="AB43:AB50" si="28">I43-T43</f>
        <v>-7561</v>
      </c>
      <c r="AC43" s="86"/>
      <c r="AD43" s="87">
        <f t="shared" ref="AD43:AD50" si="29">I43/T43</f>
        <v>0.83506391518694645</v>
      </c>
      <c r="AE43" s="86"/>
      <c r="AF43" s="87">
        <f t="shared" si="8"/>
        <v>-0.16493608481305355</v>
      </c>
    </row>
    <row r="44" spans="1:32" s="44" customFormat="1" ht="54.9" customHeight="1" x14ac:dyDescent="1.05">
      <c r="A44" s="81" t="s">
        <v>228</v>
      </c>
      <c r="B44" s="86">
        <f>CNT!N205</f>
        <v>209770.30999999997</v>
      </c>
      <c r="C44" s="86">
        <f>BPM!N44</f>
        <v>55758.57</v>
      </c>
      <c r="D44" s="86">
        <f>DEP!N30</f>
        <v>65735.010000000009</v>
      </c>
      <c r="E44" s="86">
        <v>0</v>
      </c>
      <c r="F44" s="86">
        <f>'BSC (Dome)'!N26</f>
        <v>20918.280000000002</v>
      </c>
      <c r="G44" s="86">
        <v>0</v>
      </c>
      <c r="H44" s="86">
        <v>0</v>
      </c>
      <c r="I44" s="86">
        <f t="shared" si="0"/>
        <v>352182.17</v>
      </c>
      <c r="J44" s="87">
        <f t="shared" si="26"/>
        <v>6.3461558522122569E-2</v>
      </c>
      <c r="K44" s="87"/>
      <c r="L44" s="81" t="s">
        <v>228</v>
      </c>
      <c r="M44" s="123">
        <v>296184.45</v>
      </c>
      <c r="N44" s="123">
        <v>0</v>
      </c>
      <c r="O44" s="123">
        <v>11399.12</v>
      </c>
      <c r="P44" s="123">
        <v>0</v>
      </c>
      <c r="Q44" s="123">
        <v>21298.32</v>
      </c>
      <c r="R44" s="123">
        <v>0</v>
      </c>
      <c r="S44" s="123">
        <v>0</v>
      </c>
      <c r="T44" s="86">
        <f t="shared" si="2"/>
        <v>328881.89</v>
      </c>
      <c r="U44" s="87">
        <f t="shared" si="27"/>
        <v>6.0148551363897518E-2</v>
      </c>
      <c r="V44" s="81" t="s">
        <v>228</v>
      </c>
      <c r="W44" s="87"/>
      <c r="X44" s="86">
        <f t="shared" si="4"/>
        <v>352182.17</v>
      </c>
      <c r="Y44" s="87"/>
      <c r="Z44" s="86">
        <f t="shared" si="5"/>
        <v>328881.89</v>
      </c>
      <c r="AA44" s="87"/>
      <c r="AB44" s="86">
        <f t="shared" si="28"/>
        <v>23300.27999999997</v>
      </c>
      <c r="AC44" s="86"/>
      <c r="AD44" s="87">
        <f t="shared" si="29"/>
        <v>1.0708469535978402</v>
      </c>
      <c r="AE44" s="86"/>
      <c r="AF44" s="87">
        <f t="shared" si="8"/>
        <v>7.0846953597840212E-2</v>
      </c>
    </row>
    <row r="45" spans="1:32" s="44" customFormat="1" ht="54.9" customHeight="1" x14ac:dyDescent="1.05">
      <c r="A45" s="81" t="s">
        <v>229</v>
      </c>
      <c r="B45" s="86">
        <f>CNT!N206</f>
        <v>223406.7</v>
      </c>
      <c r="C45" s="86">
        <f>BPM!N45</f>
        <v>36164.119999999995</v>
      </c>
      <c r="D45" s="86">
        <f>DEP!N31</f>
        <v>100999.13</v>
      </c>
      <c r="E45" s="86">
        <v>0</v>
      </c>
      <c r="F45" s="86">
        <f>'BSC (Dome)'!N27</f>
        <v>58838.880000000005</v>
      </c>
      <c r="G45" s="86">
        <v>0</v>
      </c>
      <c r="H45" s="86">
        <v>0</v>
      </c>
      <c r="I45" s="86">
        <f t="shared" si="0"/>
        <v>419408.83</v>
      </c>
      <c r="J45" s="87">
        <f t="shared" si="26"/>
        <v>7.5575484158496603E-2</v>
      </c>
      <c r="K45" s="87"/>
      <c r="L45" s="81" t="s">
        <v>229</v>
      </c>
      <c r="M45" s="123">
        <v>416130.99</v>
      </c>
      <c r="N45" s="123">
        <v>0</v>
      </c>
      <c r="O45" s="123">
        <v>47036.93</v>
      </c>
      <c r="P45" s="123">
        <v>0</v>
      </c>
      <c r="Q45" s="123">
        <v>55178.91</v>
      </c>
      <c r="R45" s="123">
        <v>0</v>
      </c>
      <c r="S45" s="123">
        <v>0</v>
      </c>
      <c r="T45" s="86">
        <f t="shared" si="2"/>
        <v>518346.82999999996</v>
      </c>
      <c r="U45" s="87">
        <f t="shared" si="27"/>
        <v>9.4799415463613548E-2</v>
      </c>
      <c r="V45" s="81" t="s">
        <v>229</v>
      </c>
      <c r="W45" s="87"/>
      <c r="X45" s="86">
        <f t="shared" si="4"/>
        <v>419408.83</v>
      </c>
      <c r="Y45" s="87"/>
      <c r="Z45" s="86">
        <f t="shared" si="5"/>
        <v>518346.82999999996</v>
      </c>
      <c r="AA45" s="87"/>
      <c r="AB45" s="86">
        <f t="shared" si="28"/>
        <v>-98937.999999999942</v>
      </c>
      <c r="AC45" s="86"/>
      <c r="AD45" s="87">
        <f t="shared" si="29"/>
        <v>0.80912779962404724</v>
      </c>
      <c r="AE45" s="86"/>
      <c r="AF45" s="87">
        <f t="shared" si="8"/>
        <v>-0.19087220037595276</v>
      </c>
    </row>
    <row r="46" spans="1:32" s="44" customFormat="1" ht="54.9" customHeight="1" x14ac:dyDescent="1.05">
      <c r="A46" s="81" t="s">
        <v>230</v>
      </c>
      <c r="B46" s="86">
        <f>CNT!N207</f>
        <v>31540.97</v>
      </c>
      <c r="C46" s="86">
        <f>BPM!N46</f>
        <v>9124.52</v>
      </c>
      <c r="D46" s="86">
        <f>DEP!N32</f>
        <v>4711.1099999999997</v>
      </c>
      <c r="E46" s="86">
        <v>0</v>
      </c>
      <c r="F46" s="86">
        <f>'BSC (Dome)'!N28</f>
        <v>3737.5800000000004</v>
      </c>
      <c r="G46" s="86">
        <v>0</v>
      </c>
      <c r="H46" s="86">
        <v>0</v>
      </c>
      <c r="I46" s="86">
        <f t="shared" si="0"/>
        <v>49114.180000000008</v>
      </c>
      <c r="J46" s="87">
        <f t="shared" si="26"/>
        <v>8.8501425507601997E-3</v>
      </c>
      <c r="K46" s="87"/>
      <c r="L46" s="81" t="s">
        <v>230</v>
      </c>
      <c r="M46" s="123">
        <v>63294.41</v>
      </c>
      <c r="N46" s="123">
        <v>0</v>
      </c>
      <c r="O46" s="123">
        <v>5013.0600000000004</v>
      </c>
      <c r="P46" s="123">
        <v>0</v>
      </c>
      <c r="Q46" s="123">
        <v>0</v>
      </c>
      <c r="R46" s="123">
        <v>0</v>
      </c>
      <c r="S46" s="123">
        <v>0</v>
      </c>
      <c r="T46" s="86">
        <f t="shared" si="2"/>
        <v>68307.47</v>
      </c>
      <c r="U46" s="87">
        <f t="shared" si="27"/>
        <v>1.2492616628519401E-2</v>
      </c>
      <c r="V46" s="81" t="s">
        <v>230</v>
      </c>
      <c r="W46" s="87"/>
      <c r="X46" s="86">
        <f t="shared" si="4"/>
        <v>49114.180000000008</v>
      </c>
      <c r="Y46" s="87"/>
      <c r="Z46" s="86">
        <f t="shared" si="5"/>
        <v>68307.47</v>
      </c>
      <c r="AA46" s="87"/>
      <c r="AB46" s="86">
        <f t="shared" si="28"/>
        <v>-19193.289999999994</v>
      </c>
      <c r="AC46" s="86"/>
      <c r="AD46" s="87">
        <f t="shared" si="29"/>
        <v>0.71901623643797674</v>
      </c>
      <c r="AE46" s="86"/>
      <c r="AF46" s="87">
        <f t="shared" si="8"/>
        <v>-0.28098376356202326</v>
      </c>
    </row>
    <row r="47" spans="1:32" s="44" customFormat="1" ht="54.9" customHeight="1" x14ac:dyDescent="1.05">
      <c r="A47" s="81" t="s">
        <v>231</v>
      </c>
      <c r="B47" s="86">
        <f>CNT!N208</f>
        <v>77546.92</v>
      </c>
      <c r="C47" s="86">
        <f>BPM!N47</f>
        <v>18307.82</v>
      </c>
      <c r="D47" s="86">
        <f>DEP!N33</f>
        <v>21975.360000000001</v>
      </c>
      <c r="E47" s="86">
        <v>0</v>
      </c>
      <c r="F47" s="86">
        <f>'BSC (Dome)'!N30</f>
        <v>6020.9400000000005</v>
      </c>
      <c r="G47" s="86">
        <v>0</v>
      </c>
      <c r="H47" s="86">
        <v>0</v>
      </c>
      <c r="I47" s="86">
        <f t="shared" si="0"/>
        <v>123851.04</v>
      </c>
      <c r="J47" s="87">
        <f t="shared" si="26"/>
        <v>2.2317370646520073E-2</v>
      </c>
      <c r="K47" s="87"/>
      <c r="L47" s="81" t="s">
        <v>231</v>
      </c>
      <c r="M47" s="123">
        <v>112631.83</v>
      </c>
      <c r="N47" s="123">
        <v>0</v>
      </c>
      <c r="O47" s="123">
        <v>5240.1099999999997</v>
      </c>
      <c r="P47" s="123">
        <v>0</v>
      </c>
      <c r="Q47" s="123">
        <v>5186.41</v>
      </c>
      <c r="R47" s="123">
        <v>0</v>
      </c>
      <c r="S47" s="123">
        <v>0</v>
      </c>
      <c r="T47" s="86">
        <f t="shared" si="2"/>
        <v>123058.35</v>
      </c>
      <c r="U47" s="87">
        <f t="shared" si="27"/>
        <v>2.2505895614171635E-2</v>
      </c>
      <c r="V47" s="81" t="s">
        <v>231</v>
      </c>
      <c r="W47" s="87"/>
      <c r="X47" s="86">
        <f t="shared" si="4"/>
        <v>123851.04</v>
      </c>
      <c r="Y47" s="87"/>
      <c r="Z47" s="86">
        <f t="shared" si="5"/>
        <v>123058.35</v>
      </c>
      <c r="AA47" s="87"/>
      <c r="AB47" s="86">
        <f t="shared" si="28"/>
        <v>792.68999999998778</v>
      </c>
      <c r="AC47" s="86"/>
      <c r="AD47" s="87">
        <f t="shared" si="29"/>
        <v>1.0064415783244289</v>
      </c>
      <c r="AE47" s="86"/>
      <c r="AF47" s="87">
        <f t="shared" si="8"/>
        <v>6.4415783244289315E-3</v>
      </c>
    </row>
    <row r="48" spans="1:32" s="44" customFormat="1" ht="54.9" customHeight="1" x14ac:dyDescent="1.05">
      <c r="A48" s="81" t="s">
        <v>307</v>
      </c>
      <c r="B48" s="86">
        <f>CNT!N210+CNT!N209+CNT!N213</f>
        <v>17354.98</v>
      </c>
      <c r="C48" s="86">
        <v>0</v>
      </c>
      <c r="D48" s="86">
        <f>DEP!N34</f>
        <v>2113.34</v>
      </c>
      <c r="E48" s="86">
        <v>0</v>
      </c>
      <c r="F48" s="86">
        <f>'BSC (Dome)'!N29+'BSC (Dome)'!N31</f>
        <v>2854.0699999999997</v>
      </c>
      <c r="G48" s="86">
        <v>0</v>
      </c>
      <c r="H48" s="86">
        <v>0</v>
      </c>
      <c r="I48" s="86">
        <f t="shared" si="0"/>
        <v>22322.39</v>
      </c>
      <c r="J48" s="87">
        <f t="shared" si="26"/>
        <v>4.0223889225812978E-3</v>
      </c>
      <c r="K48" s="87"/>
      <c r="L48" s="81" t="s">
        <v>307</v>
      </c>
      <c r="M48" s="123">
        <f>10893.48+69184.08</f>
        <v>80077.56</v>
      </c>
      <c r="N48" s="123">
        <v>0</v>
      </c>
      <c r="O48" s="123">
        <f>876.99+103.09</f>
        <v>980.08</v>
      </c>
      <c r="P48" s="123">
        <v>0</v>
      </c>
      <c r="Q48" s="123">
        <v>0</v>
      </c>
      <c r="R48" s="123">
        <v>0</v>
      </c>
      <c r="S48" s="123">
        <v>0</v>
      </c>
      <c r="T48" s="86">
        <f t="shared" si="2"/>
        <v>81057.64</v>
      </c>
      <c r="U48" s="87">
        <f t="shared" si="27"/>
        <v>1.4824469729775372E-2</v>
      </c>
      <c r="V48" s="81" t="s">
        <v>307</v>
      </c>
      <c r="W48" s="87"/>
      <c r="X48" s="86">
        <f t="shared" si="4"/>
        <v>22322.39</v>
      </c>
      <c r="Y48" s="87"/>
      <c r="Z48" s="86">
        <f t="shared" si="5"/>
        <v>81057.64</v>
      </c>
      <c r="AA48" s="87"/>
      <c r="AB48" s="86">
        <f t="shared" si="28"/>
        <v>-58735.25</v>
      </c>
      <c r="AC48" s="86"/>
      <c r="AD48" s="87">
        <f t="shared" si="29"/>
        <v>0.27538909348952179</v>
      </c>
      <c r="AE48" s="86"/>
      <c r="AF48" s="87">
        <f t="shared" si="8"/>
        <v>-0.72461090651047821</v>
      </c>
    </row>
    <row r="49" spans="1:32" s="44" customFormat="1" ht="54.9" customHeight="1" x14ac:dyDescent="1.05">
      <c r="A49" s="81" t="s">
        <v>232</v>
      </c>
      <c r="B49" s="86">
        <f>CNT!N211+CNT!N212</f>
        <v>7251.74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f t="shared" si="0"/>
        <v>7251.74</v>
      </c>
      <c r="J49" s="87">
        <f t="shared" si="26"/>
        <v>1.3067291918759461E-3</v>
      </c>
      <c r="K49" s="87"/>
      <c r="L49" s="81" t="s">
        <v>232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86">
        <f t="shared" si="2"/>
        <v>0</v>
      </c>
      <c r="U49" s="87">
        <f t="shared" si="27"/>
        <v>0</v>
      </c>
      <c r="V49" s="81" t="s">
        <v>232</v>
      </c>
      <c r="W49" s="87"/>
      <c r="X49" s="86">
        <f t="shared" si="4"/>
        <v>7251.74</v>
      </c>
      <c r="Y49" s="87"/>
      <c r="Z49" s="86">
        <f t="shared" si="5"/>
        <v>0</v>
      </c>
      <c r="AA49" s="87"/>
      <c r="AB49" s="86">
        <f t="shared" si="28"/>
        <v>7251.74</v>
      </c>
      <c r="AC49" s="86"/>
      <c r="AD49" s="87">
        <v>0</v>
      </c>
      <c r="AE49" s="86"/>
      <c r="AF49" s="87">
        <f t="shared" si="8"/>
        <v>-1</v>
      </c>
    </row>
    <row r="50" spans="1:32" s="44" customFormat="1" ht="54.9" customHeight="1" x14ac:dyDescent="1.05">
      <c r="A50" s="81" t="s">
        <v>246</v>
      </c>
      <c r="B50" s="86">
        <f>CNT!N241</f>
        <v>37758.97</v>
      </c>
      <c r="C50" s="86">
        <f>BPM!N48</f>
        <v>6064.87</v>
      </c>
      <c r="D50" s="86">
        <f>DEP!N35</f>
        <v>15162.18</v>
      </c>
      <c r="E50" s="86">
        <v>0</v>
      </c>
      <c r="F50" s="86">
        <v>0</v>
      </c>
      <c r="G50" s="86">
        <v>0</v>
      </c>
      <c r="H50" s="86">
        <v>0</v>
      </c>
      <c r="I50" s="86">
        <f t="shared" si="0"/>
        <v>58986.020000000004</v>
      </c>
      <c r="J50" s="87">
        <f t="shared" si="26"/>
        <v>1.0629001349548991E-2</v>
      </c>
      <c r="K50" s="87"/>
      <c r="L50" s="81" t="s">
        <v>246</v>
      </c>
      <c r="M50" s="123">
        <v>62099.85</v>
      </c>
      <c r="N50" s="123">
        <v>0</v>
      </c>
      <c r="O50" s="123">
        <v>0</v>
      </c>
      <c r="P50" s="123">
        <v>0</v>
      </c>
      <c r="Q50" s="123">
        <v>0</v>
      </c>
      <c r="R50" s="123">
        <v>0</v>
      </c>
      <c r="S50" s="123">
        <v>0</v>
      </c>
      <c r="T50" s="86">
        <f t="shared" si="2"/>
        <v>62099.85</v>
      </c>
      <c r="U50" s="87">
        <f t="shared" si="27"/>
        <v>1.1357317416946646E-2</v>
      </c>
      <c r="V50" s="81" t="s">
        <v>246</v>
      </c>
      <c r="W50" s="87"/>
      <c r="X50" s="86">
        <f t="shared" si="4"/>
        <v>58986.020000000004</v>
      </c>
      <c r="Y50" s="87"/>
      <c r="Z50" s="86">
        <f t="shared" si="5"/>
        <v>62099.85</v>
      </c>
      <c r="AA50" s="87"/>
      <c r="AB50" s="86">
        <f t="shared" si="28"/>
        <v>-3113.8299999999945</v>
      </c>
      <c r="AC50" s="86"/>
      <c r="AD50" s="87">
        <f t="shared" si="29"/>
        <v>0.94985768886720345</v>
      </c>
      <c r="AE50" s="86"/>
      <c r="AF50" s="87">
        <f t="shared" si="8"/>
        <v>-5.0142311132796547E-2</v>
      </c>
    </row>
    <row r="51" spans="1:32" s="44" customFormat="1" ht="54.9" customHeight="1" x14ac:dyDescent="1.05">
      <c r="A51" s="85" t="s">
        <v>233</v>
      </c>
      <c r="B51" s="88">
        <f t="shared" ref="B51:H51" si="30">SUM(B41:B50)</f>
        <v>3249940.1200000006</v>
      </c>
      <c r="C51" s="88">
        <f t="shared" si="30"/>
        <v>827379.59999999986</v>
      </c>
      <c r="D51" s="88">
        <f t="shared" si="30"/>
        <v>1059533.54</v>
      </c>
      <c r="E51" s="88">
        <f t="shared" si="30"/>
        <v>0</v>
      </c>
      <c r="F51" s="88">
        <f>SUM(F41:F50)</f>
        <v>412682.21</v>
      </c>
      <c r="G51" s="88">
        <f t="shared" si="30"/>
        <v>0</v>
      </c>
      <c r="H51" s="88">
        <f t="shared" si="30"/>
        <v>0</v>
      </c>
      <c r="I51" s="88">
        <f t="shared" si="0"/>
        <v>5549535.4700000007</v>
      </c>
      <c r="J51" s="89">
        <f>SUM(J41:J50)</f>
        <v>0.99999999999999989</v>
      </c>
      <c r="K51" s="87"/>
      <c r="L51" s="85" t="s">
        <v>233</v>
      </c>
      <c r="M51" s="124">
        <f t="shared" ref="M51:S51" si="31">SUM(M41:M50)</f>
        <v>4854293.9799999995</v>
      </c>
      <c r="N51" s="124">
        <f t="shared" si="31"/>
        <v>0</v>
      </c>
      <c r="O51" s="124">
        <f t="shared" si="31"/>
        <v>206396.49999999997</v>
      </c>
      <c r="P51" s="124">
        <f t="shared" si="31"/>
        <v>0</v>
      </c>
      <c r="Q51" s="124">
        <f t="shared" si="31"/>
        <v>407136.8</v>
      </c>
      <c r="R51" s="124">
        <f>SUM(R41:R50)</f>
        <v>0</v>
      </c>
      <c r="S51" s="124">
        <f t="shared" si="31"/>
        <v>0</v>
      </c>
      <c r="T51" s="88">
        <f t="shared" si="2"/>
        <v>5467827.2799999993</v>
      </c>
      <c r="U51" s="89">
        <f>SUM(U41:U50)</f>
        <v>1.0000000000000002</v>
      </c>
      <c r="V51" s="85" t="s">
        <v>233</v>
      </c>
      <c r="W51" s="87"/>
      <c r="X51" s="88">
        <f t="shared" si="4"/>
        <v>5549535.4700000007</v>
      </c>
      <c r="Y51" s="87"/>
      <c r="Z51" s="88">
        <f t="shared" si="5"/>
        <v>5467827.2799999993</v>
      </c>
      <c r="AA51" s="87"/>
      <c r="AB51" s="88">
        <f>I51-T51</f>
        <v>81708.190000001341</v>
      </c>
      <c r="AC51" s="88"/>
      <c r="AD51" s="89">
        <f>I51/T51</f>
        <v>1.0149434475187009</v>
      </c>
      <c r="AE51" s="88"/>
      <c r="AF51" s="89">
        <f t="shared" si="8"/>
        <v>1.4943447518700914E-2</v>
      </c>
    </row>
    <row r="52" spans="1:32" s="44" customFormat="1" ht="54.9" customHeight="1" x14ac:dyDescent="1.05">
      <c r="A52" s="81"/>
      <c r="B52" s="86"/>
      <c r="C52" s="86"/>
      <c r="D52" s="86"/>
      <c r="E52" s="86"/>
      <c r="F52" s="86"/>
      <c r="G52" s="86"/>
      <c r="H52" s="86"/>
      <c r="I52" s="86"/>
      <c r="J52" s="81"/>
      <c r="K52" s="81"/>
      <c r="L52" s="81"/>
      <c r="M52" s="123"/>
      <c r="N52" s="123"/>
      <c r="O52" s="123"/>
      <c r="P52" s="123"/>
      <c r="Q52" s="123"/>
      <c r="R52" s="123"/>
      <c r="S52" s="123"/>
      <c r="T52" s="86"/>
      <c r="U52" s="81"/>
      <c r="V52" s="81"/>
      <c r="W52" s="81"/>
      <c r="X52" s="86"/>
      <c r="Y52" s="81"/>
      <c r="Z52" s="86">
        <f t="shared" si="5"/>
        <v>0</v>
      </c>
      <c r="AA52" s="81"/>
      <c r="AB52" s="86"/>
      <c r="AC52" s="86"/>
      <c r="AD52" s="111"/>
      <c r="AE52" s="86"/>
      <c r="AF52" s="111"/>
    </row>
    <row r="53" spans="1:32" s="44" customFormat="1" ht="54.9" customHeight="1" x14ac:dyDescent="1.05">
      <c r="A53" s="85" t="s">
        <v>486</v>
      </c>
      <c r="B53" s="86"/>
      <c r="C53" s="86"/>
      <c r="D53" s="86"/>
      <c r="E53" s="86"/>
      <c r="F53" s="86"/>
      <c r="G53" s="86"/>
      <c r="H53" s="86"/>
      <c r="I53" s="86"/>
      <c r="J53" s="81"/>
      <c r="K53" s="81"/>
      <c r="L53" s="85" t="s">
        <v>486</v>
      </c>
      <c r="M53" s="123"/>
      <c r="N53" s="123"/>
      <c r="O53" s="123"/>
      <c r="P53" s="123"/>
      <c r="Q53" s="123"/>
      <c r="R53" s="123"/>
      <c r="S53" s="123"/>
      <c r="T53" s="86"/>
      <c r="U53" s="81"/>
      <c r="V53" s="85" t="s">
        <v>486</v>
      </c>
      <c r="W53" s="81"/>
      <c r="X53" s="86"/>
      <c r="Y53" s="81"/>
      <c r="Z53" s="86">
        <f t="shared" si="5"/>
        <v>0</v>
      </c>
      <c r="AA53" s="81"/>
      <c r="AB53" s="86"/>
      <c r="AC53" s="86"/>
      <c r="AD53" s="111"/>
      <c r="AE53" s="86"/>
      <c r="AF53" s="111"/>
    </row>
    <row r="54" spans="1:32" s="44" customFormat="1" ht="54.9" customHeight="1" x14ac:dyDescent="1.05">
      <c r="A54" s="81" t="s">
        <v>234</v>
      </c>
      <c r="B54" s="86">
        <f>CNT!N216+CNT!N217+CNT!N237</f>
        <v>550400</v>
      </c>
      <c r="C54" s="86">
        <f>BPM!N52</f>
        <v>60000</v>
      </c>
      <c r="D54" s="86">
        <f>DEP!N39</f>
        <v>450000</v>
      </c>
      <c r="E54" s="86">
        <v>0</v>
      </c>
      <c r="F54" s="86">
        <f>'BSC (Dome)'!N36</f>
        <v>12000</v>
      </c>
      <c r="G54" s="86">
        <v>0</v>
      </c>
      <c r="H54" s="86">
        <v>0</v>
      </c>
      <c r="I54" s="86">
        <f t="shared" ref="I54:I76" si="32">SUM(B54:H54)</f>
        <v>1072400</v>
      </c>
      <c r="J54" s="87">
        <f t="shared" ref="J54:J75" si="33">I54/$I$76</f>
        <v>0.23465805977197673</v>
      </c>
      <c r="K54" s="87"/>
      <c r="L54" s="81" t="s">
        <v>234</v>
      </c>
      <c r="M54" s="123">
        <v>410400</v>
      </c>
      <c r="N54" s="123">
        <v>0</v>
      </c>
      <c r="O54" s="123">
        <f>300000+150000</f>
        <v>450000</v>
      </c>
      <c r="P54" s="123">
        <v>0</v>
      </c>
      <c r="Q54" s="123">
        <v>12000</v>
      </c>
      <c r="R54" s="123">
        <v>0</v>
      </c>
      <c r="S54" s="123">
        <v>0</v>
      </c>
      <c r="T54" s="86">
        <f t="shared" si="2"/>
        <v>872400</v>
      </c>
      <c r="U54" s="87">
        <f t="shared" ref="U54:U75" si="34">T54/$T$76</f>
        <v>0.27564456039631086</v>
      </c>
      <c r="V54" s="81" t="s">
        <v>234</v>
      </c>
      <c r="W54" s="87"/>
      <c r="X54" s="86">
        <f t="shared" si="4"/>
        <v>1072400</v>
      </c>
      <c r="Y54" s="87"/>
      <c r="Z54" s="86">
        <f t="shared" si="5"/>
        <v>872400</v>
      </c>
      <c r="AA54" s="87"/>
      <c r="AB54" s="86">
        <f>I54-T54</f>
        <v>200000</v>
      </c>
      <c r="AC54" s="86"/>
      <c r="AD54" s="87">
        <f>I54/T54</f>
        <v>1.2292526364053187</v>
      </c>
      <c r="AE54" s="86"/>
      <c r="AF54" s="87">
        <f t="shared" si="8"/>
        <v>0.22925263640531868</v>
      </c>
    </row>
    <row r="55" spans="1:32" s="44" customFormat="1" ht="54.9" customHeight="1" x14ac:dyDescent="1.05">
      <c r="A55" s="81" t="s">
        <v>235</v>
      </c>
      <c r="B55" s="86">
        <f>CNT!N218</f>
        <v>10666.050000000003</v>
      </c>
      <c r="C55" s="86">
        <v>0</v>
      </c>
      <c r="D55" s="86">
        <f>DEP!N40</f>
        <v>82722.490000000005</v>
      </c>
      <c r="E55" s="86">
        <v>0</v>
      </c>
      <c r="F55" s="86">
        <f>'BSC (Dome)'!N38</f>
        <v>7117.5</v>
      </c>
      <c r="G55" s="86">
        <v>0</v>
      </c>
      <c r="H55" s="86">
        <v>0</v>
      </c>
      <c r="I55" s="86">
        <f t="shared" si="32"/>
        <v>100506.04000000001</v>
      </c>
      <c r="J55" s="87">
        <f t="shared" si="33"/>
        <v>2.1992309158676508E-2</v>
      </c>
      <c r="K55" s="87"/>
      <c r="L55" s="81" t="s">
        <v>235</v>
      </c>
      <c r="M55" s="123">
        <v>71161.289999999994</v>
      </c>
      <c r="N55" s="123">
        <v>0</v>
      </c>
      <c r="O55" s="123">
        <v>73101.820000000007</v>
      </c>
      <c r="P55" s="123">
        <v>0</v>
      </c>
      <c r="Q55" s="123">
        <v>61608.53</v>
      </c>
      <c r="R55" s="123">
        <v>0</v>
      </c>
      <c r="S55" s="123">
        <v>0</v>
      </c>
      <c r="T55" s="86">
        <f t="shared" si="2"/>
        <v>205871.63999999998</v>
      </c>
      <c r="U55" s="87">
        <f t="shared" si="34"/>
        <v>6.5047452666056355E-2</v>
      </c>
      <c r="V55" s="81" t="s">
        <v>235</v>
      </c>
      <c r="W55" s="87"/>
      <c r="X55" s="86">
        <f t="shared" si="4"/>
        <v>100506.04000000001</v>
      </c>
      <c r="Y55" s="87"/>
      <c r="Z55" s="86">
        <f t="shared" si="5"/>
        <v>205871.63999999998</v>
      </c>
      <c r="AA55" s="87"/>
      <c r="AB55" s="86">
        <f t="shared" ref="AB55:AB75" si="35">I55-T55</f>
        <v>-105365.59999999998</v>
      </c>
      <c r="AC55" s="86"/>
      <c r="AD55" s="87">
        <f t="shared" ref="AD55:AD73" si="36">I55/T55</f>
        <v>0.48819759729897727</v>
      </c>
      <c r="AE55" s="86"/>
      <c r="AF55" s="87">
        <f t="shared" si="8"/>
        <v>-0.51180240270102273</v>
      </c>
    </row>
    <row r="56" spans="1:32" s="44" customFormat="1" ht="54.9" customHeight="1" x14ac:dyDescent="1.05">
      <c r="A56" s="81" t="s">
        <v>236</v>
      </c>
      <c r="B56" s="86">
        <f>CNT!N219</f>
        <v>10590.46</v>
      </c>
      <c r="C56" s="86">
        <v>0</v>
      </c>
      <c r="D56" s="86">
        <v>0</v>
      </c>
      <c r="E56" s="86">
        <v>0</v>
      </c>
      <c r="F56" s="86">
        <f>'BSC (Dome)'!N37</f>
        <v>74436.37000000001</v>
      </c>
      <c r="G56" s="86">
        <v>0</v>
      </c>
      <c r="H56" s="86">
        <v>0</v>
      </c>
      <c r="I56" s="86">
        <f t="shared" si="32"/>
        <v>85026.830000000016</v>
      </c>
      <c r="J56" s="87">
        <f t="shared" si="33"/>
        <v>1.8605213499031804E-2</v>
      </c>
      <c r="K56" s="87"/>
      <c r="L56" s="81" t="s">
        <v>236</v>
      </c>
      <c r="M56" s="123">
        <v>8695.51</v>
      </c>
      <c r="N56" s="123">
        <v>0</v>
      </c>
      <c r="O56" s="123">
        <v>0</v>
      </c>
      <c r="P56" s="123">
        <v>0</v>
      </c>
      <c r="Q56" s="123">
        <v>89647.24</v>
      </c>
      <c r="R56" s="123">
        <v>0</v>
      </c>
      <c r="S56" s="123">
        <v>0</v>
      </c>
      <c r="T56" s="86">
        <f t="shared" si="2"/>
        <v>98342.75</v>
      </c>
      <c r="U56" s="87">
        <f t="shared" si="34"/>
        <v>3.1072494374042067E-2</v>
      </c>
      <c r="V56" s="81" t="s">
        <v>236</v>
      </c>
      <c r="W56" s="87"/>
      <c r="X56" s="86">
        <f t="shared" si="4"/>
        <v>85026.830000000016</v>
      </c>
      <c r="Y56" s="87"/>
      <c r="Z56" s="86">
        <f t="shared" si="5"/>
        <v>98342.75</v>
      </c>
      <c r="AA56" s="87"/>
      <c r="AB56" s="86">
        <f t="shared" si="35"/>
        <v>-13315.919999999984</v>
      </c>
      <c r="AC56" s="86"/>
      <c r="AD56" s="87">
        <f t="shared" si="36"/>
        <v>0.86459683098144002</v>
      </c>
      <c r="AE56" s="86"/>
      <c r="AF56" s="87">
        <f t="shared" si="8"/>
        <v>-0.13540316901855998</v>
      </c>
    </row>
    <row r="57" spans="1:32" s="44" customFormat="1" ht="54.9" customHeight="1" x14ac:dyDescent="1.05">
      <c r="A57" s="81" t="s">
        <v>337</v>
      </c>
      <c r="B57" s="86">
        <f>CNT!N220</f>
        <v>1078.46</v>
      </c>
      <c r="C57" s="86">
        <v>0</v>
      </c>
      <c r="D57" s="86">
        <v>0</v>
      </c>
      <c r="E57" s="86">
        <v>0</v>
      </c>
      <c r="F57" s="86">
        <f>'BSC (Dome)'!N39</f>
        <v>2221.1</v>
      </c>
      <c r="G57" s="86">
        <v>0</v>
      </c>
      <c r="H57" s="86">
        <v>0</v>
      </c>
      <c r="I57" s="86">
        <f t="shared" si="32"/>
        <v>3299.56</v>
      </c>
      <c r="J57" s="87">
        <f t="shared" si="33"/>
        <v>7.2199584828536319E-4</v>
      </c>
      <c r="K57" s="87"/>
      <c r="L57" s="81" t="s">
        <v>337</v>
      </c>
      <c r="M57" s="123">
        <v>1551.37</v>
      </c>
      <c r="N57" s="123">
        <v>0</v>
      </c>
      <c r="O57" s="123">
        <v>0</v>
      </c>
      <c r="P57" s="123">
        <v>0</v>
      </c>
      <c r="Q57" s="123">
        <v>1412.94</v>
      </c>
      <c r="R57" s="123">
        <v>0</v>
      </c>
      <c r="S57" s="123">
        <v>0</v>
      </c>
      <c r="T57" s="86">
        <f t="shared" si="2"/>
        <v>2964.31</v>
      </c>
      <c r="U57" s="87">
        <f t="shared" si="34"/>
        <v>9.366069771072768E-4</v>
      </c>
      <c r="V57" s="81" t="s">
        <v>337</v>
      </c>
      <c r="W57" s="87"/>
      <c r="X57" s="86">
        <f t="shared" si="4"/>
        <v>3299.56</v>
      </c>
      <c r="Y57" s="87"/>
      <c r="Z57" s="86">
        <f t="shared" si="5"/>
        <v>2964.31</v>
      </c>
      <c r="AA57" s="87"/>
      <c r="AB57" s="86">
        <f t="shared" si="35"/>
        <v>335.25</v>
      </c>
      <c r="AC57" s="86"/>
      <c r="AD57" s="87">
        <f t="shared" si="36"/>
        <v>1.1130954589769626</v>
      </c>
      <c r="AE57" s="86"/>
      <c r="AF57" s="87">
        <f t="shared" si="8"/>
        <v>0.1130954589769626</v>
      </c>
    </row>
    <row r="58" spans="1:32" s="44" customFormat="1" ht="54.9" customHeight="1" x14ac:dyDescent="1.05">
      <c r="A58" s="81" t="s">
        <v>290</v>
      </c>
      <c r="B58" s="86">
        <f>CNT!N221</f>
        <v>535.34999999999991</v>
      </c>
      <c r="C58" s="86">
        <v>0</v>
      </c>
      <c r="D58" s="86">
        <f>DEP!N41</f>
        <v>1800</v>
      </c>
      <c r="E58" s="86">
        <v>0</v>
      </c>
      <c r="F58" s="86">
        <f>'BSC (Dome)'!N40</f>
        <v>7992.87</v>
      </c>
      <c r="G58" s="86">
        <v>0</v>
      </c>
      <c r="H58" s="86">
        <v>0</v>
      </c>
      <c r="I58" s="86">
        <f t="shared" si="32"/>
        <v>10328.219999999999</v>
      </c>
      <c r="J58" s="87">
        <f t="shared" si="33"/>
        <v>2.2599776819266369E-3</v>
      </c>
      <c r="K58" s="87"/>
      <c r="L58" s="81" t="s">
        <v>290</v>
      </c>
      <c r="M58" s="123">
        <v>0</v>
      </c>
      <c r="N58" s="123">
        <v>0</v>
      </c>
      <c r="O58" s="123">
        <v>1443.5</v>
      </c>
      <c r="P58" s="123">
        <v>0</v>
      </c>
      <c r="Q58" s="123">
        <v>6092.86</v>
      </c>
      <c r="R58" s="123">
        <v>0</v>
      </c>
      <c r="S58" s="123">
        <v>0</v>
      </c>
      <c r="T58" s="86">
        <f t="shared" si="2"/>
        <v>7536.36</v>
      </c>
      <c r="U58" s="87">
        <f t="shared" si="34"/>
        <v>2.3811974314400979E-3</v>
      </c>
      <c r="V58" s="81" t="s">
        <v>290</v>
      </c>
      <c r="W58" s="87"/>
      <c r="X58" s="86">
        <f t="shared" si="4"/>
        <v>10328.219999999999</v>
      </c>
      <c r="Y58" s="87"/>
      <c r="Z58" s="86">
        <f t="shared" si="5"/>
        <v>7536.36</v>
      </c>
      <c r="AA58" s="87"/>
      <c r="AB58" s="86">
        <f t="shared" si="35"/>
        <v>2791.8599999999997</v>
      </c>
      <c r="AC58" s="86"/>
      <c r="AD58" s="87">
        <f t="shared" si="36"/>
        <v>1.3704520484690221</v>
      </c>
      <c r="AE58" s="86"/>
      <c r="AF58" s="87">
        <f t="shared" si="8"/>
        <v>0.37045204846902213</v>
      </c>
    </row>
    <row r="59" spans="1:32" s="44" customFormat="1" ht="54.9" customHeight="1" x14ac:dyDescent="1.05">
      <c r="A59" s="81" t="s">
        <v>445</v>
      </c>
      <c r="B59" s="113">
        <f>CNT!N222</f>
        <v>26990</v>
      </c>
      <c r="C59" s="86">
        <v>0</v>
      </c>
      <c r="D59" s="86">
        <f>DEP!N42</f>
        <v>29009.200000000001</v>
      </c>
      <c r="E59" s="86">
        <v>0</v>
      </c>
      <c r="F59" s="86">
        <v>0</v>
      </c>
      <c r="G59" s="86">
        <v>0</v>
      </c>
      <c r="H59" s="86">
        <v>0</v>
      </c>
      <c r="I59" s="86">
        <f t="shared" si="32"/>
        <v>55999.199999999997</v>
      </c>
      <c r="J59" s="87">
        <f t="shared" si="33"/>
        <v>1.2253509530756134E-2</v>
      </c>
      <c r="K59" s="87"/>
      <c r="L59" s="81" t="s">
        <v>445</v>
      </c>
      <c r="M59" s="123">
        <v>13304</v>
      </c>
      <c r="N59" s="123">
        <v>0</v>
      </c>
      <c r="O59" s="123">
        <v>11698</v>
      </c>
      <c r="P59" s="123">
        <v>0</v>
      </c>
      <c r="Q59" s="123">
        <v>0</v>
      </c>
      <c r="R59" s="123">
        <v>0</v>
      </c>
      <c r="S59" s="123">
        <v>0</v>
      </c>
      <c r="T59" s="86">
        <f t="shared" si="2"/>
        <v>25002</v>
      </c>
      <c r="U59" s="87">
        <f t="shared" si="34"/>
        <v>7.899662195126736E-3</v>
      </c>
      <c r="V59" s="81" t="s">
        <v>445</v>
      </c>
      <c r="W59" s="87"/>
      <c r="X59" s="86">
        <f t="shared" si="4"/>
        <v>55999.199999999997</v>
      </c>
      <c r="Y59" s="87"/>
      <c r="Z59" s="86">
        <f t="shared" si="5"/>
        <v>25002</v>
      </c>
      <c r="AA59" s="87"/>
      <c r="AB59" s="86">
        <f t="shared" si="35"/>
        <v>30997.199999999997</v>
      </c>
      <c r="AC59" s="86"/>
      <c r="AD59" s="87">
        <f t="shared" si="36"/>
        <v>2.2397888168946483</v>
      </c>
      <c r="AE59" s="86"/>
      <c r="AF59" s="87">
        <f t="shared" si="8"/>
        <v>1.2397888168946483</v>
      </c>
    </row>
    <row r="60" spans="1:32" s="44" customFormat="1" ht="54.9" customHeight="1" x14ac:dyDescent="1.05">
      <c r="A60" s="81" t="s">
        <v>373</v>
      </c>
      <c r="B60" s="86">
        <f>CNT!N223+CNT!N234</f>
        <v>155842.57999999999</v>
      </c>
      <c r="C60" s="86">
        <v>0</v>
      </c>
      <c r="D60" s="86">
        <f>DEP!N43</f>
        <v>46031.03</v>
      </c>
      <c r="E60" s="86">
        <v>0</v>
      </c>
      <c r="F60" s="86">
        <f>'BSC (Dome)'!N42</f>
        <v>11459.64</v>
      </c>
      <c r="G60" s="86">
        <v>0</v>
      </c>
      <c r="H60" s="86">
        <v>0</v>
      </c>
      <c r="I60" s="86">
        <f t="shared" si="32"/>
        <v>213333.25</v>
      </c>
      <c r="J60" s="87">
        <f t="shared" si="33"/>
        <v>4.6680684940180954E-2</v>
      </c>
      <c r="K60" s="87"/>
      <c r="L60" s="81" t="s">
        <v>237</v>
      </c>
      <c r="M60" s="123">
        <v>167923.72</v>
      </c>
      <c r="N60" s="123">
        <v>0</v>
      </c>
      <c r="O60" s="123">
        <v>36557.550000000003</v>
      </c>
      <c r="P60" s="123">
        <v>0</v>
      </c>
      <c r="Q60" s="123">
        <f>8527.18+5770.59+1240.8</f>
        <v>15538.57</v>
      </c>
      <c r="R60" s="123">
        <v>0</v>
      </c>
      <c r="S60" s="123">
        <v>0</v>
      </c>
      <c r="T60" s="86">
        <f t="shared" si="2"/>
        <v>220019.84000000003</v>
      </c>
      <c r="U60" s="87">
        <f t="shared" si="34"/>
        <v>6.9517735070227724E-2</v>
      </c>
      <c r="V60" s="81" t="s">
        <v>237</v>
      </c>
      <c r="W60" s="87"/>
      <c r="X60" s="86">
        <f t="shared" si="4"/>
        <v>213333.25</v>
      </c>
      <c r="Y60" s="87"/>
      <c r="Z60" s="86">
        <f t="shared" si="5"/>
        <v>220019.84000000003</v>
      </c>
      <c r="AA60" s="87"/>
      <c r="AB60" s="86">
        <f t="shared" si="35"/>
        <v>-6686.5900000000256</v>
      </c>
      <c r="AC60" s="86"/>
      <c r="AD60" s="87">
        <f t="shared" si="36"/>
        <v>0.9696091497930367</v>
      </c>
      <c r="AE60" s="86"/>
      <c r="AF60" s="87">
        <f t="shared" si="8"/>
        <v>-3.0390850206963305E-2</v>
      </c>
    </row>
    <row r="61" spans="1:32" s="44" customFormat="1" ht="54.9" customHeight="1" x14ac:dyDescent="1.05">
      <c r="A61" s="81" t="s">
        <v>374</v>
      </c>
      <c r="B61" s="86"/>
      <c r="C61" s="86">
        <f>BPM!N53</f>
        <v>2719.73</v>
      </c>
      <c r="D61" s="86">
        <v>0</v>
      </c>
      <c r="E61" s="86">
        <v>0</v>
      </c>
      <c r="F61" s="86">
        <f>'BSC (Dome)'!N43+'BSC (Dome)'!N49</f>
        <v>15974.13</v>
      </c>
      <c r="G61" s="86">
        <v>0</v>
      </c>
      <c r="H61" s="86">
        <v>0</v>
      </c>
      <c r="I61" s="86">
        <f t="shared" si="32"/>
        <v>18693.86</v>
      </c>
      <c r="J61" s="87">
        <f t="shared" si="33"/>
        <v>4.0905118586804972E-3</v>
      </c>
      <c r="K61" s="87"/>
      <c r="L61" s="81" t="s">
        <v>374</v>
      </c>
      <c r="M61" s="123">
        <v>0</v>
      </c>
      <c r="N61" s="123">
        <v>11057.92</v>
      </c>
      <c r="O61" s="123">
        <v>0</v>
      </c>
      <c r="P61" s="123">
        <v>0</v>
      </c>
      <c r="Q61" s="123">
        <f>6543.4+5100.55</f>
        <v>11643.95</v>
      </c>
      <c r="R61" s="123">
        <v>0</v>
      </c>
      <c r="S61" s="123">
        <v>0</v>
      </c>
      <c r="T61" s="86">
        <f t="shared" si="2"/>
        <v>22701.870000000003</v>
      </c>
      <c r="U61" s="87">
        <f t="shared" si="34"/>
        <v>7.1729103350804662E-3</v>
      </c>
      <c r="V61" s="81" t="s">
        <v>374</v>
      </c>
      <c r="W61" s="87"/>
      <c r="X61" s="86">
        <f t="shared" si="4"/>
        <v>18693.86</v>
      </c>
      <c r="Y61" s="87"/>
      <c r="Z61" s="86">
        <f t="shared" si="5"/>
        <v>22701.870000000003</v>
      </c>
      <c r="AA61" s="87"/>
      <c r="AB61" s="86">
        <f>I61-T61</f>
        <v>-4008.010000000002</v>
      </c>
      <c r="AC61" s="86"/>
      <c r="AD61" s="87">
        <f t="shared" si="36"/>
        <v>0.82345022678748481</v>
      </c>
      <c r="AE61" s="86"/>
      <c r="AF61" s="87">
        <f t="shared" si="8"/>
        <v>-0.17654977321251519</v>
      </c>
    </row>
    <row r="62" spans="1:32" s="44" customFormat="1" ht="54.9" customHeight="1" x14ac:dyDescent="1.05">
      <c r="A62" s="81" t="s">
        <v>239</v>
      </c>
      <c r="B62" s="86">
        <f>CNT!N224</f>
        <v>107137.28000000001</v>
      </c>
      <c r="C62" s="86">
        <v>0</v>
      </c>
      <c r="D62" s="86">
        <f>DEP!N44</f>
        <v>62935.24000000002</v>
      </c>
      <c r="E62" s="86">
        <v>0</v>
      </c>
      <c r="F62" s="86">
        <f>'BSC (Dome)'!N45</f>
        <v>739.67</v>
      </c>
      <c r="G62" s="86">
        <v>0</v>
      </c>
      <c r="H62" s="86">
        <v>0</v>
      </c>
      <c r="I62" s="86">
        <f t="shared" si="32"/>
        <v>170812.19000000003</v>
      </c>
      <c r="J62" s="87">
        <f t="shared" si="33"/>
        <v>3.7376405343903629E-2</v>
      </c>
      <c r="K62" s="87"/>
      <c r="L62" s="81" t="s">
        <v>239</v>
      </c>
      <c r="M62" s="123">
        <v>109850.21</v>
      </c>
      <c r="N62" s="123">
        <v>0</v>
      </c>
      <c r="O62" s="123">
        <v>52018.06</v>
      </c>
      <c r="P62" s="123">
        <v>0</v>
      </c>
      <c r="Q62" s="123">
        <v>1016.98</v>
      </c>
      <c r="R62" s="123">
        <v>0</v>
      </c>
      <c r="S62" s="123">
        <v>0</v>
      </c>
      <c r="T62" s="86">
        <f t="shared" si="2"/>
        <v>162885.25000000003</v>
      </c>
      <c r="U62" s="87">
        <f t="shared" si="34"/>
        <v>5.1465420829084368E-2</v>
      </c>
      <c r="V62" s="81" t="s">
        <v>239</v>
      </c>
      <c r="W62" s="87"/>
      <c r="X62" s="86">
        <f t="shared" si="4"/>
        <v>170812.19000000003</v>
      </c>
      <c r="Y62" s="87"/>
      <c r="Z62" s="86">
        <f t="shared" si="5"/>
        <v>162885.25000000003</v>
      </c>
      <c r="AA62" s="87"/>
      <c r="AB62" s="86">
        <f t="shared" si="35"/>
        <v>7926.9400000000023</v>
      </c>
      <c r="AC62" s="86"/>
      <c r="AD62" s="87">
        <f t="shared" si="36"/>
        <v>1.0486657938640853</v>
      </c>
      <c r="AE62" s="86"/>
      <c r="AF62" s="87">
        <f t="shared" si="8"/>
        <v>4.8665793864085316E-2</v>
      </c>
    </row>
    <row r="63" spans="1:32" s="44" customFormat="1" ht="54.9" customHeight="1" x14ac:dyDescent="1.05">
      <c r="A63" s="81" t="s">
        <v>240</v>
      </c>
      <c r="B63" s="86">
        <f>CNT!N225</f>
        <v>38009.360000000001</v>
      </c>
      <c r="C63" s="86">
        <v>0</v>
      </c>
      <c r="D63" s="86">
        <f>DEP!N45</f>
        <v>14369.55</v>
      </c>
      <c r="E63" s="86">
        <v>0</v>
      </c>
      <c r="F63" s="86">
        <v>0</v>
      </c>
      <c r="G63" s="86">
        <v>0</v>
      </c>
      <c r="H63" s="86">
        <v>0</v>
      </c>
      <c r="I63" s="86">
        <f t="shared" si="32"/>
        <v>52378.91</v>
      </c>
      <c r="J63" s="87">
        <f t="shared" si="33"/>
        <v>1.1461332892177351E-2</v>
      </c>
      <c r="K63" s="87"/>
      <c r="L63" s="81" t="s">
        <v>240</v>
      </c>
      <c r="M63" s="123">
        <v>35626.29</v>
      </c>
      <c r="N63" s="123">
        <v>0</v>
      </c>
      <c r="O63" s="123">
        <v>20219.39</v>
      </c>
      <c r="P63" s="123">
        <v>0</v>
      </c>
      <c r="Q63" s="123">
        <v>0</v>
      </c>
      <c r="R63" s="123">
        <v>0</v>
      </c>
      <c r="S63" s="123">
        <v>0</v>
      </c>
      <c r="T63" s="86">
        <f t="shared" si="2"/>
        <v>55845.68</v>
      </c>
      <c r="U63" s="87">
        <f t="shared" si="34"/>
        <v>1.7645068676791668E-2</v>
      </c>
      <c r="V63" s="81" t="s">
        <v>240</v>
      </c>
      <c r="W63" s="87"/>
      <c r="X63" s="86">
        <f t="shared" si="4"/>
        <v>52378.91</v>
      </c>
      <c r="Y63" s="87"/>
      <c r="Z63" s="86">
        <f t="shared" si="5"/>
        <v>55845.68</v>
      </c>
      <c r="AA63" s="87"/>
      <c r="AB63" s="86">
        <f t="shared" si="35"/>
        <v>-3466.7699999999968</v>
      </c>
      <c r="AC63" s="86"/>
      <c r="AD63" s="87">
        <f t="shared" si="36"/>
        <v>0.93792232451999868</v>
      </c>
      <c r="AE63" s="86"/>
      <c r="AF63" s="87">
        <f t="shared" si="8"/>
        <v>-6.2077675480001315E-2</v>
      </c>
    </row>
    <row r="64" spans="1:32" s="44" customFormat="1" ht="54.9" customHeight="1" x14ac:dyDescent="1.05">
      <c r="A64" s="81" t="s">
        <v>238</v>
      </c>
      <c r="B64" s="86">
        <f>CNT!N226</f>
        <v>54707.439999999988</v>
      </c>
      <c r="C64" s="86">
        <f>BPM!N54</f>
        <v>5941.1100000000006</v>
      </c>
      <c r="D64" s="86">
        <f>DEP!N46</f>
        <v>217684.57</v>
      </c>
      <c r="E64" s="86">
        <v>0</v>
      </c>
      <c r="F64" s="86">
        <f>'BSC (Dome)'!N47</f>
        <v>29259.329999999998</v>
      </c>
      <c r="G64" s="86">
        <v>0</v>
      </c>
      <c r="H64" s="86">
        <v>0</v>
      </c>
      <c r="I64" s="86">
        <f t="shared" si="32"/>
        <v>307592.45</v>
      </c>
      <c r="J64" s="87">
        <f t="shared" si="33"/>
        <v>6.7306086830948117E-2</v>
      </c>
      <c r="K64" s="87"/>
      <c r="L64" s="81" t="s">
        <v>238</v>
      </c>
      <c r="M64" s="123">
        <v>54688.56</v>
      </c>
      <c r="N64" s="123">
        <v>0</v>
      </c>
      <c r="O64" s="123">
        <v>0</v>
      </c>
      <c r="P64" s="123">
        <v>0</v>
      </c>
      <c r="Q64" s="123">
        <v>28268</v>
      </c>
      <c r="R64" s="123">
        <v>0</v>
      </c>
      <c r="S64" s="123">
        <v>0</v>
      </c>
      <c r="T64" s="86">
        <f t="shared" si="2"/>
        <v>82956.56</v>
      </c>
      <c r="U64" s="87">
        <f t="shared" si="34"/>
        <v>2.6211055150378481E-2</v>
      </c>
      <c r="V64" s="81" t="s">
        <v>238</v>
      </c>
      <c r="W64" s="87"/>
      <c r="X64" s="86">
        <f t="shared" si="4"/>
        <v>307592.45</v>
      </c>
      <c r="Y64" s="87"/>
      <c r="Z64" s="86">
        <f t="shared" si="5"/>
        <v>82956.56</v>
      </c>
      <c r="AA64" s="87"/>
      <c r="AB64" s="86">
        <f t="shared" si="35"/>
        <v>224635.89</v>
      </c>
      <c r="AC64" s="86"/>
      <c r="AD64" s="87">
        <f t="shared" si="36"/>
        <v>3.7078737353622189</v>
      </c>
      <c r="AE64" s="86"/>
      <c r="AF64" s="87">
        <f t="shared" si="8"/>
        <v>2.7078737353622189</v>
      </c>
    </row>
    <row r="65" spans="1:32" s="44" customFormat="1" ht="54.9" customHeight="1" x14ac:dyDescent="1.05">
      <c r="A65" s="81" t="s">
        <v>359</v>
      </c>
      <c r="B65" s="86">
        <v>0</v>
      </c>
      <c r="C65" s="86">
        <v>0</v>
      </c>
      <c r="D65" s="86">
        <v>0</v>
      </c>
      <c r="E65" s="86">
        <v>0</v>
      </c>
      <c r="F65" s="86">
        <f>'BSC (Dome)'!N44</f>
        <v>19873.979999999996</v>
      </c>
      <c r="G65" s="86">
        <v>0</v>
      </c>
      <c r="H65" s="86">
        <v>0</v>
      </c>
      <c r="I65" s="86">
        <f t="shared" si="32"/>
        <v>19873.979999999996</v>
      </c>
      <c r="J65" s="87">
        <f t="shared" si="33"/>
        <v>4.3487407560118133E-3</v>
      </c>
      <c r="K65" s="87"/>
      <c r="L65" s="81" t="s">
        <v>359</v>
      </c>
      <c r="M65" s="123">
        <v>0</v>
      </c>
      <c r="N65" s="123">
        <v>0</v>
      </c>
      <c r="O65" s="123">
        <v>0</v>
      </c>
      <c r="P65" s="123">
        <v>0</v>
      </c>
      <c r="Q65" s="123">
        <v>11201.97</v>
      </c>
      <c r="R65" s="123">
        <v>0</v>
      </c>
      <c r="S65" s="123">
        <v>0</v>
      </c>
      <c r="T65" s="86">
        <f t="shared" si="2"/>
        <v>11201.97</v>
      </c>
      <c r="U65" s="87">
        <f t="shared" si="34"/>
        <v>3.5393880057572927E-3</v>
      </c>
      <c r="V65" s="81" t="s">
        <v>359</v>
      </c>
      <c r="W65" s="87"/>
      <c r="X65" s="86">
        <f t="shared" si="4"/>
        <v>19873.979999999996</v>
      </c>
      <c r="Y65" s="87"/>
      <c r="Z65" s="86">
        <f t="shared" si="5"/>
        <v>11201.97</v>
      </c>
      <c r="AA65" s="87"/>
      <c r="AB65" s="86">
        <f t="shared" si="35"/>
        <v>8672.0099999999966</v>
      </c>
      <c r="AC65" s="86"/>
      <c r="AD65" s="87">
        <f t="shared" si="36"/>
        <v>1.7741504396101755</v>
      </c>
      <c r="AE65" s="86"/>
      <c r="AF65" s="87">
        <f t="shared" si="8"/>
        <v>0.77415043961017549</v>
      </c>
    </row>
    <row r="66" spans="1:32" s="44" customFormat="1" ht="54.9" customHeight="1" x14ac:dyDescent="1.05">
      <c r="A66" s="81" t="s">
        <v>241</v>
      </c>
      <c r="B66" s="86">
        <f>CNT!N269+CNT!N227</f>
        <v>41964.72</v>
      </c>
      <c r="C66" s="86">
        <v>0</v>
      </c>
      <c r="D66" s="86">
        <f>DEP!N47</f>
        <v>398.36</v>
      </c>
      <c r="E66" s="86">
        <v>0</v>
      </c>
      <c r="F66" s="86">
        <f>'BSC (Dome)'!N50</f>
        <v>1417.5100000000002</v>
      </c>
      <c r="G66" s="86">
        <v>0</v>
      </c>
      <c r="H66" s="86">
        <v>0</v>
      </c>
      <c r="I66" s="86">
        <f t="shared" si="32"/>
        <v>43780.590000000004</v>
      </c>
      <c r="J66" s="87">
        <f t="shared" si="33"/>
        <v>9.5798846559794915E-3</v>
      </c>
      <c r="K66" s="87"/>
      <c r="L66" s="81" t="s">
        <v>241</v>
      </c>
      <c r="M66" s="123">
        <v>25662.99</v>
      </c>
      <c r="N66" s="123">
        <v>396.74</v>
      </c>
      <c r="O66" s="123">
        <v>3698.13</v>
      </c>
      <c r="P66" s="123">
        <v>0</v>
      </c>
      <c r="Q66" s="123">
        <v>1938.02</v>
      </c>
      <c r="R66" s="123">
        <v>0</v>
      </c>
      <c r="S66" s="123">
        <v>0</v>
      </c>
      <c r="T66" s="86">
        <f t="shared" si="2"/>
        <v>31695.880000000005</v>
      </c>
      <c r="U66" s="87">
        <f t="shared" si="34"/>
        <v>1.0014668625600898E-2</v>
      </c>
      <c r="V66" s="81" t="s">
        <v>241</v>
      </c>
      <c r="W66" s="87"/>
      <c r="X66" s="86">
        <f t="shared" si="4"/>
        <v>43780.590000000004</v>
      </c>
      <c r="Y66" s="87"/>
      <c r="Z66" s="86">
        <f t="shared" si="5"/>
        <v>31695.880000000005</v>
      </c>
      <c r="AA66" s="87"/>
      <c r="AB66" s="86">
        <f t="shared" si="35"/>
        <v>12084.71</v>
      </c>
      <c r="AC66" s="86"/>
      <c r="AD66" s="87">
        <f t="shared" si="36"/>
        <v>1.3812706888087662</v>
      </c>
      <c r="AE66" s="86"/>
      <c r="AF66" s="87">
        <f t="shared" si="8"/>
        <v>0.38127068880876624</v>
      </c>
    </row>
    <row r="67" spans="1:32" s="44" customFormat="1" ht="54.9" customHeight="1" x14ac:dyDescent="1.05">
      <c r="A67" s="81" t="s">
        <v>242</v>
      </c>
      <c r="B67" s="86">
        <f>CNT!N228</f>
        <v>12202.319999999998</v>
      </c>
      <c r="C67" s="86">
        <v>0</v>
      </c>
      <c r="D67" s="86">
        <f>DEP!N49</f>
        <v>4451.6299999999992</v>
      </c>
      <c r="E67" s="86">
        <v>0</v>
      </c>
      <c r="F67" s="86">
        <v>0</v>
      </c>
      <c r="G67" s="86">
        <v>0</v>
      </c>
      <c r="H67" s="86">
        <v>0</v>
      </c>
      <c r="I67" s="86">
        <f t="shared" si="32"/>
        <v>16653.949999999997</v>
      </c>
      <c r="J67" s="87">
        <f t="shared" si="33"/>
        <v>3.6441473279928303E-3</v>
      </c>
      <c r="K67" s="87"/>
      <c r="L67" s="81" t="s">
        <v>242</v>
      </c>
      <c r="M67" s="123">
        <v>3274.67</v>
      </c>
      <c r="N67" s="123">
        <v>776.44</v>
      </c>
      <c r="O67" s="123">
        <v>3404.28</v>
      </c>
      <c r="P67" s="123">
        <v>0</v>
      </c>
      <c r="Q67" s="123">
        <v>0</v>
      </c>
      <c r="R67" s="123">
        <v>0</v>
      </c>
      <c r="S67" s="123">
        <v>0</v>
      </c>
      <c r="T67" s="86">
        <f t="shared" si="2"/>
        <v>7455.39</v>
      </c>
      <c r="U67" s="87">
        <f t="shared" si="34"/>
        <v>2.3556140521928614E-3</v>
      </c>
      <c r="V67" s="81" t="s">
        <v>242</v>
      </c>
      <c r="W67" s="87"/>
      <c r="X67" s="86">
        <f t="shared" si="4"/>
        <v>16653.949999999997</v>
      </c>
      <c r="Y67" s="87"/>
      <c r="Z67" s="86">
        <f t="shared" si="5"/>
        <v>7455.39</v>
      </c>
      <c r="AA67" s="87"/>
      <c r="AB67" s="86">
        <f t="shared" si="35"/>
        <v>9198.5599999999977</v>
      </c>
      <c r="AC67" s="86"/>
      <c r="AD67" s="87">
        <f t="shared" si="36"/>
        <v>2.2338133887026697</v>
      </c>
      <c r="AE67" s="86"/>
      <c r="AF67" s="87">
        <f t="shared" si="8"/>
        <v>1.2338133887026697</v>
      </c>
    </row>
    <row r="68" spans="1:32" s="44" customFormat="1" ht="54.9" customHeight="1" x14ac:dyDescent="1.05">
      <c r="A68" s="81" t="s">
        <v>243</v>
      </c>
      <c r="B68" s="86">
        <f>CNT!N230</f>
        <v>3999.9599999999996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f t="shared" si="32"/>
        <v>3999.9599999999996</v>
      </c>
      <c r="J68" s="87">
        <f t="shared" si="33"/>
        <v>8.7525443189622896E-4</v>
      </c>
      <c r="K68" s="87"/>
      <c r="L68" s="81" t="s">
        <v>243</v>
      </c>
      <c r="M68" s="123">
        <v>4000</v>
      </c>
      <c r="N68" s="123">
        <v>0</v>
      </c>
      <c r="O68" s="123">
        <v>0</v>
      </c>
      <c r="P68" s="123">
        <v>0</v>
      </c>
      <c r="Q68" s="123">
        <v>0</v>
      </c>
      <c r="R68" s="123">
        <v>1609.32</v>
      </c>
      <c r="S68" s="123">
        <v>0</v>
      </c>
      <c r="T68" s="86">
        <f t="shared" si="2"/>
        <v>5609.32</v>
      </c>
      <c r="U68" s="87">
        <f t="shared" si="34"/>
        <v>1.7723275395715662E-3</v>
      </c>
      <c r="V68" s="81" t="s">
        <v>243</v>
      </c>
      <c r="W68" s="87"/>
      <c r="X68" s="86">
        <f t="shared" si="4"/>
        <v>3999.9599999999996</v>
      </c>
      <c r="Y68" s="87"/>
      <c r="Z68" s="86">
        <f t="shared" si="5"/>
        <v>5609.32</v>
      </c>
      <c r="AA68" s="87"/>
      <c r="AB68" s="86">
        <f t="shared" si="35"/>
        <v>-1609.3600000000001</v>
      </c>
      <c r="AC68" s="86"/>
      <c r="AD68" s="87">
        <f t="shared" si="36"/>
        <v>0.71309178296121456</v>
      </c>
      <c r="AE68" s="86"/>
      <c r="AF68" s="87">
        <f t="shared" si="8"/>
        <v>-0.28690821703878544</v>
      </c>
    </row>
    <row r="69" spans="1:32" s="44" customFormat="1" ht="54.9" customHeight="1" x14ac:dyDescent="1.05">
      <c r="A69" s="81" t="s">
        <v>244</v>
      </c>
      <c r="B69" s="86">
        <f>CNT!N231+CNT!N236</f>
        <v>1486541.88</v>
      </c>
      <c r="C69" s="86">
        <f>BPM!N55</f>
        <v>4743.6099999999997</v>
      </c>
      <c r="D69" s="86">
        <f>DEP!N50</f>
        <v>126181.48999999999</v>
      </c>
      <c r="E69" s="86">
        <v>0</v>
      </c>
      <c r="F69" s="86">
        <f>'BSC (Dome)'!N53</f>
        <v>110674.99</v>
      </c>
      <c r="G69" s="86">
        <f>'Oliari Co.'!N11</f>
        <v>111013.19000000003</v>
      </c>
      <c r="H69" s="86">
        <f>'722 Bedford St'!N11</f>
        <v>176833.96000000002</v>
      </c>
      <c r="I69" s="86">
        <f t="shared" si="32"/>
        <v>2015989.1199999999</v>
      </c>
      <c r="J69" s="87">
        <f t="shared" si="33"/>
        <v>0.44113026428628749</v>
      </c>
      <c r="K69" s="87"/>
      <c r="L69" s="81" t="s">
        <v>244</v>
      </c>
      <c r="M69" s="123">
        <v>757919.62</v>
      </c>
      <c r="N69" s="123">
        <v>5000</v>
      </c>
      <c r="O69" s="123">
        <v>124372.88</v>
      </c>
      <c r="P69" s="123">
        <v>0</v>
      </c>
      <c r="Q69" s="123">
        <v>102503</v>
      </c>
      <c r="R69" s="123">
        <v>111310.19</v>
      </c>
      <c r="S69" s="123">
        <v>136236</v>
      </c>
      <c r="T69" s="86">
        <f t="shared" si="2"/>
        <v>1237341.69</v>
      </c>
      <c r="U69" s="87">
        <f t="shared" si="34"/>
        <v>0.39095197867959464</v>
      </c>
      <c r="V69" s="81" t="s">
        <v>244</v>
      </c>
      <c r="W69" s="87"/>
      <c r="X69" s="86">
        <f t="shared" si="4"/>
        <v>2015989.1199999999</v>
      </c>
      <c r="Y69" s="87"/>
      <c r="Z69" s="86">
        <f t="shared" si="5"/>
        <v>1237341.69</v>
      </c>
      <c r="AA69" s="87"/>
      <c r="AB69" s="86">
        <f t="shared" si="35"/>
        <v>778647.42999999993</v>
      </c>
      <c r="AC69" s="86"/>
      <c r="AD69" s="87">
        <f t="shared" si="36"/>
        <v>1.6292905478679862</v>
      </c>
      <c r="AE69" s="86"/>
      <c r="AF69" s="87">
        <f t="shared" si="8"/>
        <v>0.62929054786798622</v>
      </c>
    </row>
    <row r="70" spans="1:32" s="44" customFormat="1" ht="54.9" customHeight="1" x14ac:dyDescent="1.05">
      <c r="A70" s="81" t="s">
        <v>254</v>
      </c>
      <c r="B70" s="86">
        <f>CNT!N252</f>
        <v>1560.6100000000001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f t="shared" si="32"/>
        <v>1560.6100000000001</v>
      </c>
      <c r="J70" s="87">
        <f t="shared" si="33"/>
        <v>3.4148611960158954E-4</v>
      </c>
      <c r="K70" s="87"/>
      <c r="L70" s="81" t="s">
        <v>254</v>
      </c>
      <c r="M70" s="123">
        <v>3286.03</v>
      </c>
      <c r="N70" s="123">
        <v>0</v>
      </c>
      <c r="O70" s="123">
        <v>0</v>
      </c>
      <c r="P70" s="123">
        <v>0</v>
      </c>
      <c r="Q70" s="123">
        <v>327.56</v>
      </c>
      <c r="R70" s="123">
        <v>-1113.3599999999999</v>
      </c>
      <c r="S70" s="123">
        <v>0</v>
      </c>
      <c r="T70" s="86">
        <f t="shared" si="2"/>
        <v>2500.2300000000005</v>
      </c>
      <c r="U70" s="87">
        <f t="shared" si="34"/>
        <v>7.8997569834900097E-4</v>
      </c>
      <c r="V70" s="81" t="s">
        <v>254</v>
      </c>
      <c r="W70" s="87"/>
      <c r="X70" s="86">
        <f t="shared" si="4"/>
        <v>1560.6100000000001</v>
      </c>
      <c r="Y70" s="87"/>
      <c r="Z70" s="86">
        <f t="shared" si="5"/>
        <v>2500.2300000000005</v>
      </c>
      <c r="AA70" s="87"/>
      <c r="AB70" s="86">
        <f t="shared" si="35"/>
        <v>-939.62000000000035</v>
      </c>
      <c r="AC70" s="86"/>
      <c r="AD70" s="87">
        <f t="shared" si="36"/>
        <v>0.62418657483511508</v>
      </c>
      <c r="AE70" s="86"/>
      <c r="AF70" s="87">
        <f t="shared" si="8"/>
        <v>-0.37581342516488492</v>
      </c>
    </row>
    <row r="71" spans="1:32" s="44" customFormat="1" ht="54.9" customHeight="1" x14ac:dyDescent="1.05">
      <c r="A71" s="81" t="s">
        <v>356</v>
      </c>
      <c r="B71" s="86">
        <f>CNT!N266</f>
        <v>3166.5</v>
      </c>
      <c r="C71" s="86">
        <f>BPM!N67</f>
        <v>468.88000000000005</v>
      </c>
      <c r="D71" s="86">
        <f>DEP!N69</f>
        <v>449</v>
      </c>
      <c r="E71" s="86">
        <f>Lending!N11</f>
        <v>109</v>
      </c>
      <c r="F71" s="86">
        <f>'BSC (Dome)'!N48</f>
        <v>1665</v>
      </c>
      <c r="G71" s="86">
        <f>'Oliari Co.'!N10</f>
        <v>520</v>
      </c>
      <c r="H71" s="86">
        <f>'722 Bedford St'!N10</f>
        <v>520</v>
      </c>
      <c r="I71" s="86">
        <f t="shared" si="32"/>
        <v>6898.38</v>
      </c>
      <c r="J71" s="87">
        <f t="shared" si="33"/>
        <v>1.5094745117211943E-3</v>
      </c>
      <c r="K71" s="87"/>
      <c r="L71" s="81" t="s">
        <v>356</v>
      </c>
      <c r="M71" s="123">
        <v>0</v>
      </c>
      <c r="N71" s="123">
        <v>0</v>
      </c>
      <c r="O71" s="123">
        <v>0</v>
      </c>
      <c r="P71" s="123">
        <v>0</v>
      </c>
      <c r="Q71" s="123">
        <v>1515</v>
      </c>
      <c r="R71" s="123">
        <v>0</v>
      </c>
      <c r="S71" s="123">
        <v>520</v>
      </c>
      <c r="T71" s="86">
        <f t="shared" si="2"/>
        <v>2035</v>
      </c>
      <c r="U71" s="87">
        <f t="shared" si="34"/>
        <v>6.4298106419818045E-4</v>
      </c>
      <c r="V71" s="81" t="s">
        <v>356</v>
      </c>
      <c r="W71" s="87"/>
      <c r="X71" s="86">
        <f t="shared" si="4"/>
        <v>6898.38</v>
      </c>
      <c r="Y71" s="87"/>
      <c r="Z71" s="86">
        <f t="shared" si="5"/>
        <v>2035</v>
      </c>
      <c r="AA71" s="87"/>
      <c r="AB71" s="86">
        <f t="shared" si="35"/>
        <v>4863.38</v>
      </c>
      <c r="AC71" s="86"/>
      <c r="AD71" s="87">
        <f t="shared" si="36"/>
        <v>3.3898673218673219</v>
      </c>
      <c r="AE71" s="86"/>
      <c r="AF71" s="87">
        <f t="shared" si="8"/>
        <v>2.3898673218673219</v>
      </c>
    </row>
    <row r="72" spans="1:32" s="44" customFormat="1" ht="54.9" customHeight="1" x14ac:dyDescent="1.05">
      <c r="A72" s="81" t="s">
        <v>247</v>
      </c>
      <c r="B72" s="86">
        <f>CNT!N251</f>
        <v>17043.18</v>
      </c>
      <c r="C72" s="86">
        <f>BPM!N68</f>
        <v>2820.38</v>
      </c>
      <c r="D72" s="86">
        <f>DEP!N51</f>
        <v>18788.209999999995</v>
      </c>
      <c r="E72" s="86">
        <v>0</v>
      </c>
      <c r="F72" s="86">
        <v>0</v>
      </c>
      <c r="G72" s="86">
        <v>0</v>
      </c>
      <c r="H72" s="86">
        <v>0</v>
      </c>
      <c r="I72" s="86">
        <f t="shared" si="32"/>
        <v>38651.769999999997</v>
      </c>
      <c r="J72" s="87">
        <f t="shared" si="33"/>
        <v>8.4576178244616714E-3</v>
      </c>
      <c r="K72" s="87"/>
      <c r="L72" s="81" t="s">
        <v>247</v>
      </c>
      <c r="M72" s="123">
        <v>16237.27</v>
      </c>
      <c r="N72" s="123">
        <v>0</v>
      </c>
      <c r="O72" s="123">
        <v>7777.98</v>
      </c>
      <c r="P72" s="123">
        <v>0</v>
      </c>
      <c r="Q72" s="123">
        <v>0</v>
      </c>
      <c r="R72" s="123">
        <v>0</v>
      </c>
      <c r="S72" s="123">
        <v>0</v>
      </c>
      <c r="T72" s="86">
        <f t="shared" si="2"/>
        <v>24015.25</v>
      </c>
      <c r="U72" s="87">
        <f t="shared" si="34"/>
        <v>7.587887470263073E-3</v>
      </c>
      <c r="V72" s="81" t="s">
        <v>247</v>
      </c>
      <c r="W72" s="87"/>
      <c r="X72" s="86">
        <f t="shared" si="4"/>
        <v>38651.769999999997</v>
      </c>
      <c r="Y72" s="87"/>
      <c r="Z72" s="86">
        <f t="shared" si="5"/>
        <v>24015.25</v>
      </c>
      <c r="AA72" s="87"/>
      <c r="AB72" s="86">
        <f t="shared" si="35"/>
        <v>14636.519999999997</v>
      </c>
      <c r="AC72" s="86"/>
      <c r="AD72" s="87">
        <f t="shared" si="36"/>
        <v>1.6094677340439927</v>
      </c>
      <c r="AE72" s="86"/>
      <c r="AF72" s="87">
        <f t="shared" si="8"/>
        <v>0.60946773404399268</v>
      </c>
    </row>
    <row r="73" spans="1:32" s="44" customFormat="1" ht="54.9" customHeight="1" x14ac:dyDescent="1.05">
      <c r="A73" s="81" t="s">
        <v>248</v>
      </c>
      <c r="B73" s="86">
        <f>CNT!N255+CNT!N235+CNT!N229</f>
        <v>134430.88999999996</v>
      </c>
      <c r="C73" s="86">
        <f>BPM!N62</f>
        <v>22738.28</v>
      </c>
      <c r="D73" s="86">
        <f>DEP!N48</f>
        <v>87509.759999999995</v>
      </c>
      <c r="E73" s="86">
        <v>0</v>
      </c>
      <c r="F73" s="86">
        <v>0</v>
      </c>
      <c r="G73" s="86">
        <v>0</v>
      </c>
      <c r="H73" s="86">
        <v>0</v>
      </c>
      <c r="I73" s="86">
        <f t="shared" si="32"/>
        <v>244678.92999999993</v>
      </c>
      <c r="J73" s="87">
        <f t="shared" si="33"/>
        <v>5.3539614864680431E-2</v>
      </c>
      <c r="K73" s="87"/>
      <c r="L73" s="81" t="s">
        <v>248</v>
      </c>
      <c r="M73" s="123">
        <v>1675</v>
      </c>
      <c r="N73" s="123">
        <v>0</v>
      </c>
      <c r="O73" s="123">
        <v>84889.47</v>
      </c>
      <c r="P73" s="123">
        <v>0</v>
      </c>
      <c r="Q73" s="123">
        <v>0</v>
      </c>
      <c r="R73" s="123">
        <v>0</v>
      </c>
      <c r="S73" s="123">
        <v>0</v>
      </c>
      <c r="T73" s="86">
        <f t="shared" si="2"/>
        <v>86564.47</v>
      </c>
      <c r="U73" s="87">
        <f t="shared" si="34"/>
        <v>2.7351014762826274E-2</v>
      </c>
      <c r="V73" s="81" t="s">
        <v>248</v>
      </c>
      <c r="W73" s="87"/>
      <c r="X73" s="86">
        <f t="shared" si="4"/>
        <v>244678.92999999993</v>
      </c>
      <c r="Y73" s="87"/>
      <c r="Z73" s="86">
        <f t="shared" si="5"/>
        <v>86564.47</v>
      </c>
      <c r="AA73" s="87"/>
      <c r="AB73" s="86">
        <f t="shared" si="35"/>
        <v>158114.45999999993</v>
      </c>
      <c r="AC73" s="86"/>
      <c r="AD73" s="87">
        <f t="shared" si="36"/>
        <v>2.8265514708286199</v>
      </c>
      <c r="AE73" s="86"/>
      <c r="AF73" s="87">
        <f t="shared" si="8"/>
        <v>1.8265514708286199</v>
      </c>
    </row>
    <row r="74" spans="1:32" s="44" customFormat="1" ht="54.9" customHeight="1" x14ac:dyDescent="1.05">
      <c r="A74" s="81" t="s">
        <v>368</v>
      </c>
      <c r="B74" s="86">
        <f>CNT!N232</f>
        <v>31517.78</v>
      </c>
      <c r="C74" s="86">
        <v>0</v>
      </c>
      <c r="D74" s="86">
        <f>DEP!N52</f>
        <v>7476.93</v>
      </c>
      <c r="E74" s="86">
        <v>0</v>
      </c>
      <c r="F74" s="86">
        <f>'BSC (Dome)'!N55</f>
        <v>2372.79</v>
      </c>
      <c r="G74" s="86">
        <v>0</v>
      </c>
      <c r="H74" s="86">
        <v>0</v>
      </c>
      <c r="I74" s="86">
        <f t="shared" si="32"/>
        <v>41367.5</v>
      </c>
      <c r="J74" s="87">
        <f t="shared" si="33"/>
        <v>9.0518624464912788E-3</v>
      </c>
      <c r="K74" s="87"/>
      <c r="L74" s="81" t="s">
        <v>368</v>
      </c>
      <c r="M74" s="123">
        <v>0</v>
      </c>
      <c r="N74" s="123">
        <v>0</v>
      </c>
      <c r="O74" s="123">
        <v>0</v>
      </c>
      <c r="P74" s="123">
        <v>0</v>
      </c>
      <c r="Q74" s="123">
        <v>0</v>
      </c>
      <c r="R74" s="123">
        <v>0</v>
      </c>
      <c r="S74" s="123">
        <v>0</v>
      </c>
      <c r="T74" s="86">
        <f t="shared" si="2"/>
        <v>0</v>
      </c>
      <c r="U74" s="87">
        <f t="shared" si="34"/>
        <v>0</v>
      </c>
      <c r="V74" s="81" t="s">
        <v>368</v>
      </c>
      <c r="W74" s="87"/>
      <c r="X74" s="86">
        <f t="shared" si="4"/>
        <v>41367.5</v>
      </c>
      <c r="Y74" s="87"/>
      <c r="Z74" s="86">
        <f t="shared" si="5"/>
        <v>0</v>
      </c>
      <c r="AA74" s="87"/>
      <c r="AB74" s="86">
        <f t="shared" si="35"/>
        <v>41367.5</v>
      </c>
      <c r="AC74" s="86"/>
      <c r="AD74" s="91">
        <v>0</v>
      </c>
      <c r="AE74" s="86"/>
      <c r="AF74" s="87">
        <f t="shared" si="8"/>
        <v>-1</v>
      </c>
    </row>
    <row r="75" spans="1:32" s="44" customFormat="1" ht="54.9" customHeight="1" x14ac:dyDescent="1.05">
      <c r="A75" s="81" t="s">
        <v>369</v>
      </c>
      <c r="B75" s="86">
        <f>CNT!N233</f>
        <v>22152.17</v>
      </c>
      <c r="C75" s="86">
        <f>BPM!N61</f>
        <v>7257.89</v>
      </c>
      <c r="D75" s="86">
        <f>DEP!N53</f>
        <v>10196.419999999998</v>
      </c>
      <c r="E75" s="86">
        <v>0</v>
      </c>
      <c r="F75" s="86">
        <f>'BSC (Dome)'!N56</f>
        <v>6622.1999999999989</v>
      </c>
      <c r="G75" s="86">
        <v>0</v>
      </c>
      <c r="H75" s="86">
        <v>0</v>
      </c>
      <c r="I75" s="86">
        <f t="shared" si="32"/>
        <v>46228.679999999993</v>
      </c>
      <c r="J75" s="87">
        <f t="shared" si="33"/>
        <v>1.0115565418332324E-2</v>
      </c>
      <c r="K75" s="87"/>
      <c r="L75" s="81" t="s">
        <v>369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86">
        <f t="shared" si="2"/>
        <v>0</v>
      </c>
      <c r="U75" s="87">
        <f t="shared" si="34"/>
        <v>0</v>
      </c>
      <c r="V75" s="81" t="s">
        <v>369</v>
      </c>
      <c r="W75" s="87"/>
      <c r="X75" s="86">
        <f t="shared" si="4"/>
        <v>46228.679999999993</v>
      </c>
      <c r="Y75" s="87"/>
      <c r="Z75" s="86">
        <f t="shared" si="5"/>
        <v>0</v>
      </c>
      <c r="AA75" s="87"/>
      <c r="AB75" s="86">
        <f t="shared" si="35"/>
        <v>46228.679999999993</v>
      </c>
      <c r="AC75" s="86"/>
      <c r="AD75" s="91">
        <v>0</v>
      </c>
      <c r="AE75" s="86"/>
      <c r="AF75" s="114">
        <f t="shared" si="8"/>
        <v>-1</v>
      </c>
    </row>
    <row r="76" spans="1:32" s="44" customFormat="1" ht="54.9" customHeight="1" x14ac:dyDescent="1.05">
      <c r="A76" s="85" t="s">
        <v>249</v>
      </c>
      <c r="B76" s="88">
        <f t="shared" ref="B76:H76" si="37">SUM(B54:B75)</f>
        <v>2710536.9899999993</v>
      </c>
      <c r="C76" s="88">
        <f t="shared" si="37"/>
        <v>106689.88</v>
      </c>
      <c r="D76" s="88">
        <f t="shared" si="37"/>
        <v>1160003.8799999999</v>
      </c>
      <c r="E76" s="88">
        <f t="shared" si="37"/>
        <v>109</v>
      </c>
      <c r="F76" s="88">
        <f t="shared" si="37"/>
        <v>303827.08</v>
      </c>
      <c r="G76" s="88">
        <f t="shared" si="37"/>
        <v>111533.19000000003</v>
      </c>
      <c r="H76" s="88">
        <f t="shared" si="37"/>
        <v>177353.96000000002</v>
      </c>
      <c r="I76" s="88">
        <f t="shared" si="32"/>
        <v>4570053.9799999995</v>
      </c>
      <c r="J76" s="89">
        <f>SUM(J54:J75)</f>
        <v>1</v>
      </c>
      <c r="K76" s="87"/>
      <c r="L76" s="85" t="s">
        <v>249</v>
      </c>
      <c r="M76" s="124">
        <f>SUM(M54:M75)</f>
        <v>1685256.53</v>
      </c>
      <c r="N76" s="124">
        <f t="shared" ref="N76:S76" si="38">SUM(N54:N75)</f>
        <v>17231.099999999999</v>
      </c>
      <c r="O76" s="124">
        <f t="shared" si="38"/>
        <v>869181.06000000017</v>
      </c>
      <c r="P76" s="124">
        <f t="shared" si="38"/>
        <v>0</v>
      </c>
      <c r="Q76" s="124">
        <f t="shared" si="38"/>
        <v>344714.62000000005</v>
      </c>
      <c r="R76" s="124">
        <f t="shared" si="38"/>
        <v>111806.15000000001</v>
      </c>
      <c r="S76" s="124">
        <f t="shared" si="38"/>
        <v>136756</v>
      </c>
      <c r="T76" s="88">
        <f t="shared" si="2"/>
        <v>3164945.4600000004</v>
      </c>
      <c r="U76" s="89">
        <f>SUM(U54:U75)</f>
        <v>0.99999999999999989</v>
      </c>
      <c r="V76" s="85" t="s">
        <v>249</v>
      </c>
      <c r="W76" s="87"/>
      <c r="X76" s="88">
        <f t="shared" si="4"/>
        <v>4570053.9799999995</v>
      </c>
      <c r="Y76" s="87"/>
      <c r="Z76" s="88">
        <f t="shared" si="5"/>
        <v>3164945.4600000004</v>
      </c>
      <c r="AA76" s="87"/>
      <c r="AB76" s="88">
        <f>I76-T76</f>
        <v>1405108.5199999991</v>
      </c>
      <c r="AC76" s="88"/>
      <c r="AD76" s="89">
        <f>I76/T76</f>
        <v>1.4439597894366238</v>
      </c>
      <c r="AE76" s="88"/>
      <c r="AF76" s="89">
        <f t="shared" si="8"/>
        <v>0.44395978943662384</v>
      </c>
    </row>
    <row r="77" spans="1:32" s="44" customFormat="1" ht="54.9" customHeight="1" x14ac:dyDescent="1.05">
      <c r="A77" s="81"/>
      <c r="B77" s="86"/>
      <c r="C77" s="86"/>
      <c r="D77" s="86"/>
      <c r="E77" s="86"/>
      <c r="F77" s="86"/>
      <c r="G77" s="86"/>
      <c r="H77" s="86"/>
      <c r="I77" s="86"/>
      <c r="J77" s="81"/>
      <c r="K77" s="81"/>
      <c r="L77" s="81"/>
      <c r="M77" s="123"/>
      <c r="N77" s="123"/>
      <c r="O77" s="123"/>
      <c r="P77" s="123"/>
      <c r="Q77" s="123"/>
      <c r="R77" s="123"/>
      <c r="S77" s="123"/>
      <c r="T77" s="86"/>
      <c r="U77" s="81"/>
      <c r="V77" s="81"/>
      <c r="W77" s="81"/>
      <c r="X77" s="86"/>
      <c r="Y77" s="81"/>
      <c r="Z77" s="86">
        <f t="shared" si="5"/>
        <v>0</v>
      </c>
      <c r="AA77" s="81"/>
      <c r="AB77" s="86"/>
      <c r="AC77" s="86"/>
      <c r="AD77" s="87"/>
      <c r="AE77" s="86"/>
      <c r="AF77" s="87"/>
    </row>
    <row r="78" spans="1:32" s="44" customFormat="1" ht="54.9" customHeight="1" x14ac:dyDescent="1.05">
      <c r="A78" s="85" t="s">
        <v>250</v>
      </c>
      <c r="B78" s="86"/>
      <c r="C78" s="86"/>
      <c r="D78" s="86"/>
      <c r="E78" s="86"/>
      <c r="F78" s="86"/>
      <c r="G78" s="86"/>
      <c r="H78" s="86"/>
      <c r="I78" s="86"/>
      <c r="J78" s="81"/>
      <c r="K78" s="81"/>
      <c r="L78" s="85" t="s">
        <v>250</v>
      </c>
      <c r="M78" s="123"/>
      <c r="N78" s="123"/>
      <c r="O78" s="123"/>
      <c r="P78" s="123"/>
      <c r="Q78" s="123"/>
      <c r="R78" s="123"/>
      <c r="S78" s="123"/>
      <c r="T78" s="86"/>
      <c r="U78" s="81"/>
      <c r="V78" s="85" t="s">
        <v>250</v>
      </c>
      <c r="W78" s="81"/>
      <c r="X78" s="86"/>
      <c r="Y78" s="81"/>
      <c r="Z78" s="86">
        <f t="shared" si="5"/>
        <v>0</v>
      </c>
      <c r="AA78" s="81"/>
      <c r="AB78" s="86"/>
      <c r="AC78" s="86"/>
      <c r="AD78" s="87"/>
      <c r="AE78" s="86"/>
      <c r="AF78" s="87"/>
    </row>
    <row r="79" spans="1:32" s="44" customFormat="1" ht="54.9" customHeight="1" x14ac:dyDescent="1.05">
      <c r="A79" s="81" t="s">
        <v>251</v>
      </c>
      <c r="B79" s="86">
        <f>CNT!N242</f>
        <v>10702.03</v>
      </c>
      <c r="C79" s="86">
        <v>0</v>
      </c>
      <c r="D79" s="86">
        <f>DEP!N57</f>
        <v>1830.05</v>
      </c>
      <c r="E79" s="86">
        <v>0</v>
      </c>
      <c r="F79" s="86">
        <f>'BSC (Dome)'!N60</f>
        <v>3730.92</v>
      </c>
      <c r="G79" s="86">
        <v>0</v>
      </c>
      <c r="H79" s="86">
        <v>0</v>
      </c>
      <c r="I79" s="86">
        <f t="shared" ref="I79:I101" si="39">SUM(B79:H79)</f>
        <v>16263</v>
      </c>
      <c r="J79" s="87">
        <f t="shared" ref="J79:J98" si="40">I79/$I$99</f>
        <v>1.2908695281425393E-2</v>
      </c>
      <c r="K79" s="87"/>
      <c r="L79" s="81" t="s">
        <v>251</v>
      </c>
      <c r="M79" s="123">
        <v>11738.84</v>
      </c>
      <c r="N79" s="123">
        <v>0</v>
      </c>
      <c r="O79" s="123">
        <v>1774.86</v>
      </c>
      <c r="P79" s="123">
        <v>0</v>
      </c>
      <c r="Q79" s="123">
        <v>0</v>
      </c>
      <c r="R79" s="123">
        <v>0</v>
      </c>
      <c r="S79" s="123">
        <v>0</v>
      </c>
      <c r="T79" s="86">
        <f t="shared" si="2"/>
        <v>13513.7</v>
      </c>
      <c r="U79" s="87">
        <f t="shared" ref="U79:U98" si="41">T79/$T$99</f>
        <v>1.2879221017990548E-2</v>
      </c>
      <c r="V79" s="81" t="s">
        <v>251</v>
      </c>
      <c r="W79" s="87"/>
      <c r="X79" s="86">
        <f t="shared" si="4"/>
        <v>16263</v>
      </c>
      <c r="Y79" s="87"/>
      <c r="Z79" s="86">
        <f t="shared" si="5"/>
        <v>13513.7</v>
      </c>
      <c r="AA79" s="87"/>
      <c r="AB79" s="86">
        <f>I79-T79</f>
        <v>2749.2999999999993</v>
      </c>
      <c r="AC79" s="86"/>
      <c r="AD79" s="87">
        <f>I79/T79</f>
        <v>1.2034453924535842</v>
      </c>
      <c r="AE79" s="86"/>
      <c r="AF79" s="87">
        <f t="shared" si="8"/>
        <v>0.20344539245358417</v>
      </c>
    </row>
    <row r="80" spans="1:32" s="44" customFormat="1" ht="54.9" customHeight="1" x14ac:dyDescent="1.05">
      <c r="A80" s="81" t="s">
        <v>391</v>
      </c>
      <c r="B80" s="86">
        <f>CNT!N240</f>
        <v>4500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f t="shared" si="39"/>
        <v>4500</v>
      </c>
      <c r="J80" s="87">
        <f t="shared" si="40"/>
        <v>3.5718581298908115E-3</v>
      </c>
      <c r="K80" s="87"/>
      <c r="L80" s="81" t="s">
        <v>391</v>
      </c>
      <c r="M80" s="123">
        <v>2500</v>
      </c>
      <c r="N80" s="123">
        <v>0</v>
      </c>
      <c r="O80" s="123">
        <v>0</v>
      </c>
      <c r="P80" s="123">
        <v>0</v>
      </c>
      <c r="Q80" s="123">
        <v>0</v>
      </c>
      <c r="R80" s="123">
        <v>0</v>
      </c>
      <c r="S80" s="123">
        <v>0</v>
      </c>
      <c r="T80" s="86">
        <f>SUM(M80:S80)</f>
        <v>2500</v>
      </c>
      <c r="U80" s="87">
        <f t="shared" si="41"/>
        <v>2.3826230081307391E-3</v>
      </c>
      <c r="V80" s="81" t="s">
        <v>391</v>
      </c>
      <c r="W80" s="87"/>
      <c r="X80" s="86">
        <f t="shared" si="4"/>
        <v>4500</v>
      </c>
      <c r="Y80" s="87"/>
      <c r="Z80" s="86">
        <f t="shared" si="5"/>
        <v>2500</v>
      </c>
      <c r="AA80" s="87"/>
      <c r="AB80" s="86">
        <f>I80-T80</f>
        <v>2000</v>
      </c>
      <c r="AC80" s="86"/>
      <c r="AD80" s="87">
        <f>I80/T80</f>
        <v>1.8</v>
      </c>
      <c r="AE80" s="86"/>
      <c r="AF80" s="87">
        <f>AD80-1</f>
        <v>0.8</v>
      </c>
    </row>
    <row r="81" spans="1:32" s="44" customFormat="1" ht="54.9" customHeight="1" x14ac:dyDescent="1.05">
      <c r="A81" s="81" t="s">
        <v>547</v>
      </c>
      <c r="B81" s="86">
        <v>0</v>
      </c>
      <c r="C81" s="86">
        <v>0</v>
      </c>
      <c r="D81" s="86">
        <v>0</v>
      </c>
      <c r="E81" s="86">
        <f>Lending!N9</f>
        <v>4281.26</v>
      </c>
      <c r="F81" s="86">
        <v>0</v>
      </c>
      <c r="G81" s="86">
        <v>0</v>
      </c>
      <c r="H81" s="86">
        <v>0</v>
      </c>
      <c r="I81" s="86">
        <f t="shared" si="39"/>
        <v>4281.26</v>
      </c>
      <c r="J81" s="87">
        <f t="shared" si="40"/>
        <v>3.3982340749280746E-3</v>
      </c>
      <c r="K81" s="87"/>
      <c r="L81" s="81" t="s">
        <v>547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23">
        <v>0</v>
      </c>
      <c r="S81" s="123">
        <v>0</v>
      </c>
      <c r="T81" s="86">
        <f>SUM(M81:S81)</f>
        <v>0</v>
      </c>
      <c r="U81" s="87">
        <f t="shared" si="41"/>
        <v>0</v>
      </c>
      <c r="V81" s="81" t="s">
        <v>547</v>
      </c>
      <c r="W81" s="87"/>
      <c r="X81" s="86">
        <f t="shared" si="4"/>
        <v>4281.26</v>
      </c>
      <c r="Y81" s="87"/>
      <c r="Z81" s="86">
        <f t="shared" si="5"/>
        <v>0</v>
      </c>
      <c r="AA81" s="87"/>
      <c r="AB81" s="86">
        <f>I81-T81</f>
        <v>4281.26</v>
      </c>
      <c r="AC81" s="86"/>
      <c r="AD81" s="87">
        <v>0</v>
      </c>
      <c r="AE81" s="86"/>
      <c r="AF81" s="87">
        <f>AD81-1</f>
        <v>-1</v>
      </c>
    </row>
    <row r="82" spans="1:32" s="44" customFormat="1" ht="54.9" customHeight="1" x14ac:dyDescent="1.05">
      <c r="A82" s="81" t="s">
        <v>252</v>
      </c>
      <c r="B82" s="86">
        <f>CNT!N243</f>
        <v>123365.15</v>
      </c>
      <c r="C82" s="86">
        <f>BPM!N59</f>
        <v>9986.6</v>
      </c>
      <c r="D82" s="86">
        <f>DEP!N58</f>
        <v>8752.2300000000014</v>
      </c>
      <c r="E82" s="86">
        <f>Lending!N10</f>
        <v>2418.9900000000002</v>
      </c>
      <c r="F82" s="86">
        <f>'BSC (Dome)'!N61</f>
        <v>3439.0699999999993</v>
      </c>
      <c r="G82" s="86">
        <v>0</v>
      </c>
      <c r="H82" s="86">
        <f>'722 Bedford St'!N16</f>
        <v>955.25000000000011</v>
      </c>
      <c r="I82" s="86">
        <f t="shared" si="39"/>
        <v>148917.29</v>
      </c>
      <c r="J82" s="87">
        <f t="shared" si="40"/>
        <v>0.11820254065951281</v>
      </c>
      <c r="K82" s="87"/>
      <c r="L82" s="81" t="s">
        <v>252</v>
      </c>
      <c r="M82" s="123">
        <v>135085.85</v>
      </c>
      <c r="N82" s="123">
        <v>8641.52</v>
      </c>
      <c r="O82" s="123">
        <v>9349.5</v>
      </c>
      <c r="P82" s="123">
        <v>2661.12</v>
      </c>
      <c r="Q82" s="123">
        <v>5128.68</v>
      </c>
      <c r="R82" s="123">
        <v>54</v>
      </c>
      <c r="S82" s="123">
        <v>932.27</v>
      </c>
      <c r="T82" s="86">
        <f t="shared" si="2"/>
        <v>161852.93999999997</v>
      </c>
      <c r="U82" s="87">
        <f t="shared" si="41"/>
        <v>0.15425381551104159</v>
      </c>
      <c r="V82" s="81" t="s">
        <v>252</v>
      </c>
      <c r="W82" s="87"/>
      <c r="X82" s="86">
        <f t="shared" si="4"/>
        <v>148917.29</v>
      </c>
      <c r="Y82" s="87"/>
      <c r="Z82" s="86">
        <f t="shared" si="5"/>
        <v>161852.93999999997</v>
      </c>
      <c r="AA82" s="87"/>
      <c r="AB82" s="86">
        <f t="shared" ref="AB82:AB97" si="42">I82-T82</f>
        <v>-12935.649999999965</v>
      </c>
      <c r="AC82" s="86"/>
      <c r="AD82" s="87">
        <f t="shared" ref="AD82:AD94" si="43">I82/T82</f>
        <v>0.92007775700583527</v>
      </c>
      <c r="AE82" s="86"/>
      <c r="AF82" s="87">
        <f t="shared" si="8"/>
        <v>-7.9922242994164727E-2</v>
      </c>
    </row>
    <row r="83" spans="1:32" s="44" customFormat="1" ht="54.9" customHeight="1" x14ac:dyDescent="1.05">
      <c r="A83" s="81" t="s">
        <v>363</v>
      </c>
      <c r="B83" s="86">
        <v>0</v>
      </c>
      <c r="C83" s="86">
        <v>0</v>
      </c>
      <c r="D83" s="86">
        <v>0</v>
      </c>
      <c r="E83" s="86">
        <v>0</v>
      </c>
      <c r="F83" s="86">
        <f>'BSC (Dome)'!N62</f>
        <v>4784.8900000000003</v>
      </c>
      <c r="G83" s="86">
        <v>0</v>
      </c>
      <c r="H83" s="86">
        <v>0</v>
      </c>
      <c r="I83" s="86">
        <f t="shared" si="39"/>
        <v>4784.8900000000003</v>
      </c>
      <c r="J83" s="87">
        <f t="shared" si="40"/>
        <v>3.7979884993629438E-3</v>
      </c>
      <c r="K83" s="87"/>
      <c r="L83" s="81" t="s">
        <v>363</v>
      </c>
      <c r="M83" s="123">
        <v>0</v>
      </c>
      <c r="N83" s="123">
        <v>0</v>
      </c>
      <c r="O83" s="123">
        <v>0</v>
      </c>
      <c r="P83" s="123">
        <v>0</v>
      </c>
      <c r="Q83" s="123">
        <v>4003.21</v>
      </c>
      <c r="R83" s="123">
        <v>0</v>
      </c>
      <c r="S83" s="123">
        <v>0</v>
      </c>
      <c r="T83" s="86">
        <f>SUM(M83:S83)</f>
        <v>4003.21</v>
      </c>
      <c r="U83" s="87">
        <f t="shared" si="41"/>
        <v>3.8152561009516224E-3</v>
      </c>
      <c r="V83" s="81" t="s">
        <v>363</v>
      </c>
      <c r="W83" s="87"/>
      <c r="X83" s="86">
        <f t="shared" si="4"/>
        <v>4784.8900000000003</v>
      </c>
      <c r="Y83" s="87"/>
      <c r="Z83" s="86">
        <f t="shared" si="5"/>
        <v>4003.21</v>
      </c>
      <c r="AA83" s="87"/>
      <c r="AB83" s="86">
        <f t="shared" si="42"/>
        <v>781.68000000000029</v>
      </c>
      <c r="AC83" s="86"/>
      <c r="AD83" s="87">
        <f t="shared" si="43"/>
        <v>1.1952633012007865</v>
      </c>
      <c r="AE83" s="86"/>
      <c r="AF83" s="87">
        <f t="shared" si="8"/>
        <v>0.1952633012007865</v>
      </c>
    </row>
    <row r="84" spans="1:32" s="44" customFormat="1" ht="54.9" customHeight="1" x14ac:dyDescent="1.05">
      <c r="A84" s="81" t="s">
        <v>253</v>
      </c>
      <c r="B84" s="86">
        <f>CNT!N245</f>
        <v>4790.21</v>
      </c>
      <c r="C84" s="86">
        <v>0</v>
      </c>
      <c r="D84" s="86">
        <f>DEP!N68</f>
        <v>9232.57</v>
      </c>
      <c r="E84" s="86">
        <v>0</v>
      </c>
      <c r="F84" s="86">
        <f>'BSC (Dome)'!N66</f>
        <v>1068.2</v>
      </c>
      <c r="G84" s="86">
        <v>0</v>
      </c>
      <c r="H84" s="86">
        <v>0</v>
      </c>
      <c r="I84" s="86">
        <f t="shared" si="39"/>
        <v>15090.98</v>
      </c>
      <c r="J84" s="87">
        <f t="shared" si="40"/>
        <v>1.1978408800226586E-2</v>
      </c>
      <c r="K84" s="87"/>
      <c r="L84" s="81" t="s">
        <v>253</v>
      </c>
      <c r="M84" s="123">
        <v>10314.1</v>
      </c>
      <c r="N84" s="123">
        <v>0</v>
      </c>
      <c r="O84" s="123">
        <v>100</v>
      </c>
      <c r="P84" s="123">
        <v>0</v>
      </c>
      <c r="Q84" s="123">
        <v>5274.44</v>
      </c>
      <c r="R84" s="123">
        <v>0</v>
      </c>
      <c r="S84" s="123">
        <v>0</v>
      </c>
      <c r="T84" s="86">
        <f t="shared" si="2"/>
        <v>15688.54</v>
      </c>
      <c r="U84" s="87">
        <f t="shared" si="41"/>
        <v>1.4951950547191771E-2</v>
      </c>
      <c r="V84" s="81" t="s">
        <v>253</v>
      </c>
      <c r="W84" s="87"/>
      <c r="X84" s="86">
        <f t="shared" ref="X84:X120" si="44">I84</f>
        <v>15090.98</v>
      </c>
      <c r="Y84" s="87"/>
      <c r="Z84" s="86">
        <f t="shared" ref="Z84:Z120" si="45">T84</f>
        <v>15688.54</v>
      </c>
      <c r="AA84" s="87"/>
      <c r="AB84" s="86">
        <f t="shared" si="42"/>
        <v>-597.56000000000131</v>
      </c>
      <c r="AC84" s="86"/>
      <c r="AD84" s="87">
        <f t="shared" si="43"/>
        <v>0.96191105099645979</v>
      </c>
      <c r="AE84" s="86"/>
      <c r="AF84" s="87">
        <f t="shared" si="8"/>
        <v>-3.8088949003540207E-2</v>
      </c>
    </row>
    <row r="85" spans="1:32" s="44" customFormat="1" ht="54.9" customHeight="1" x14ac:dyDescent="1.05">
      <c r="A85" s="81" t="s">
        <v>360</v>
      </c>
      <c r="B85" s="86">
        <f>CNT!N263</f>
        <v>349999.99000000005</v>
      </c>
      <c r="C85" s="86">
        <f>BPM!N64</f>
        <v>12091.89</v>
      </c>
      <c r="D85" s="86">
        <f>DEP!N62</f>
        <v>50400</v>
      </c>
      <c r="E85" s="86">
        <f>Lending!N13</f>
        <v>2575.0000000000005</v>
      </c>
      <c r="F85" s="86">
        <f>'BSC (Dome)'!N67</f>
        <v>5375</v>
      </c>
      <c r="G85" s="86">
        <f>'Oliari Co.'!N15</f>
        <v>3445</v>
      </c>
      <c r="H85" s="86">
        <f>'722 Bedford St'!N15</f>
        <v>2550</v>
      </c>
      <c r="I85" s="86">
        <f t="shared" si="39"/>
        <v>426436.88000000006</v>
      </c>
      <c r="J85" s="87">
        <f t="shared" si="40"/>
        <v>0.33848267482517169</v>
      </c>
      <c r="K85" s="87"/>
      <c r="L85" s="81" t="s">
        <v>360</v>
      </c>
      <c r="M85" s="123">
        <v>455211.23</v>
      </c>
      <c r="N85" s="123">
        <v>73448.25</v>
      </c>
      <c r="O85" s="123">
        <v>91422.02</v>
      </c>
      <c r="P85" s="123">
        <v>0</v>
      </c>
      <c r="Q85" s="123">
        <v>20835.47</v>
      </c>
      <c r="R85" s="123">
        <v>-417.13</v>
      </c>
      <c r="S85" s="123">
        <v>1825</v>
      </c>
      <c r="T85" s="86">
        <f t="shared" si="2"/>
        <v>642324.84</v>
      </c>
      <c r="U85" s="87">
        <f t="shared" si="41"/>
        <v>0.61216717699115819</v>
      </c>
      <c r="V85" s="81" t="s">
        <v>360</v>
      </c>
      <c r="W85" s="87"/>
      <c r="X85" s="86">
        <f t="shared" si="44"/>
        <v>426436.88000000006</v>
      </c>
      <c r="Y85" s="87"/>
      <c r="Z85" s="86">
        <f t="shared" si="45"/>
        <v>642324.84</v>
      </c>
      <c r="AA85" s="87"/>
      <c r="AB85" s="86">
        <f t="shared" si="42"/>
        <v>-215887.9599999999</v>
      </c>
      <c r="AC85" s="86"/>
      <c r="AD85" s="87">
        <f t="shared" si="43"/>
        <v>0.663895981354232</v>
      </c>
      <c r="AE85" s="86"/>
      <c r="AF85" s="87">
        <f t="shared" si="8"/>
        <v>-0.336104018645768</v>
      </c>
    </row>
    <row r="86" spans="1:32" s="44" customFormat="1" ht="54.9" customHeight="1" x14ac:dyDescent="1.05">
      <c r="A86" s="81" t="s">
        <v>361</v>
      </c>
      <c r="B86" s="86">
        <f>CNT!N264</f>
        <v>90500</v>
      </c>
      <c r="C86" s="86">
        <f>BPM!N65</f>
        <v>45060.1</v>
      </c>
      <c r="D86" s="86">
        <f>DEP!N63</f>
        <v>27000</v>
      </c>
      <c r="E86" s="86">
        <v>0</v>
      </c>
      <c r="F86" s="86">
        <f>'BSC (Dome)'!N68</f>
        <v>18000</v>
      </c>
      <c r="G86" s="86">
        <v>0</v>
      </c>
      <c r="H86" s="86">
        <v>0</v>
      </c>
      <c r="I86" s="86">
        <f t="shared" si="39"/>
        <v>180560.1</v>
      </c>
      <c r="J86" s="87">
        <f t="shared" si="40"/>
        <v>0.14331890247086621</v>
      </c>
      <c r="K86" s="87"/>
      <c r="L86" s="81" t="s">
        <v>361</v>
      </c>
      <c r="M86" s="123">
        <v>0</v>
      </c>
      <c r="N86" s="123">
        <v>0</v>
      </c>
      <c r="O86" s="123">
        <v>0</v>
      </c>
      <c r="P86" s="123">
        <v>0</v>
      </c>
      <c r="Q86" s="123">
        <v>13542.06</v>
      </c>
      <c r="R86" s="123">
        <v>0</v>
      </c>
      <c r="S86" s="123">
        <v>0</v>
      </c>
      <c r="T86" s="86">
        <f>SUM(M86:S86)</f>
        <v>13542.06</v>
      </c>
      <c r="U86" s="87">
        <f t="shared" si="41"/>
        <v>1.2906249493394781E-2</v>
      </c>
      <c r="V86" s="81" t="s">
        <v>361</v>
      </c>
      <c r="W86" s="87"/>
      <c r="X86" s="86">
        <f t="shared" si="44"/>
        <v>180560.1</v>
      </c>
      <c r="Y86" s="87"/>
      <c r="Z86" s="86">
        <f t="shared" si="45"/>
        <v>13542.06</v>
      </c>
      <c r="AA86" s="87"/>
      <c r="AB86" s="86">
        <f t="shared" si="42"/>
        <v>167018.04</v>
      </c>
      <c r="AC86" s="86"/>
      <c r="AD86" s="87">
        <f t="shared" si="43"/>
        <v>13.33328164252706</v>
      </c>
      <c r="AE86" s="86"/>
      <c r="AF86" s="87">
        <f t="shared" si="8"/>
        <v>12.33328164252706</v>
      </c>
    </row>
    <row r="87" spans="1:32" s="44" customFormat="1" ht="54.9" customHeight="1" x14ac:dyDescent="1.05">
      <c r="A87" s="81" t="s">
        <v>362</v>
      </c>
      <c r="B87" s="86">
        <f>CNT!N262</f>
        <v>83381.570000000007</v>
      </c>
      <c r="C87" s="86">
        <f>BPM!N63</f>
        <v>7527.0700000000006</v>
      </c>
      <c r="D87" s="86">
        <f>DEP!N61</f>
        <v>16848.52</v>
      </c>
      <c r="E87" s="86">
        <f>Lending!N12</f>
        <v>22500</v>
      </c>
      <c r="F87" s="86">
        <v>0</v>
      </c>
      <c r="G87" s="86">
        <v>0</v>
      </c>
      <c r="H87" s="86">
        <v>0</v>
      </c>
      <c r="I87" s="86">
        <f t="shared" si="39"/>
        <v>130257.16000000002</v>
      </c>
      <c r="J87" s="87">
        <f t="shared" si="40"/>
        <v>0.10339113242721962</v>
      </c>
      <c r="K87" s="87"/>
      <c r="L87" s="81" t="s">
        <v>362</v>
      </c>
      <c r="M87" s="123">
        <v>0</v>
      </c>
      <c r="N87" s="123">
        <v>0</v>
      </c>
      <c r="O87" s="123">
        <v>0</v>
      </c>
      <c r="P87" s="123">
        <v>5231.25</v>
      </c>
      <c r="Q87" s="123">
        <v>0</v>
      </c>
      <c r="R87" s="123">
        <v>11520</v>
      </c>
      <c r="S87" s="123">
        <v>0</v>
      </c>
      <c r="T87" s="86">
        <f>SUM(M87:S87)</f>
        <v>16751.25</v>
      </c>
      <c r="U87" s="87">
        <f t="shared" si="41"/>
        <v>1.5964765465980017E-2</v>
      </c>
      <c r="V87" s="81" t="s">
        <v>362</v>
      </c>
      <c r="W87" s="87"/>
      <c r="X87" s="86">
        <f t="shared" si="44"/>
        <v>130257.16000000002</v>
      </c>
      <c r="Y87" s="87"/>
      <c r="Z87" s="86">
        <f t="shared" si="45"/>
        <v>16751.25</v>
      </c>
      <c r="AA87" s="87"/>
      <c r="AB87" s="86">
        <f t="shared" si="42"/>
        <v>113505.91000000002</v>
      </c>
      <c r="AC87" s="86"/>
      <c r="AD87" s="91">
        <v>0</v>
      </c>
      <c r="AE87" s="86"/>
      <c r="AF87" s="87">
        <f t="shared" si="8"/>
        <v>-1</v>
      </c>
    </row>
    <row r="88" spans="1:32" s="44" customFormat="1" ht="54.9" customHeight="1" x14ac:dyDescent="1.05">
      <c r="A88" s="81" t="s">
        <v>400</v>
      </c>
      <c r="B88" s="86">
        <f>CNT!N265</f>
        <v>33743.360000000001</v>
      </c>
      <c r="C88" s="86">
        <f>BPM!N66</f>
        <v>5191.34</v>
      </c>
      <c r="D88" s="86">
        <f>DEP!N65</f>
        <v>12978.179999999997</v>
      </c>
      <c r="E88" s="86">
        <v>0</v>
      </c>
      <c r="F88" s="86">
        <v>0</v>
      </c>
      <c r="G88" s="86">
        <v>0</v>
      </c>
      <c r="H88" s="86">
        <v>0</v>
      </c>
      <c r="I88" s="86">
        <f t="shared" si="39"/>
        <v>51912.87999999999</v>
      </c>
      <c r="J88" s="87">
        <f t="shared" si="40"/>
        <v>4.1205653883121349E-2</v>
      </c>
      <c r="K88" s="87"/>
      <c r="L88" s="81" t="s">
        <v>400</v>
      </c>
      <c r="M88" s="123">
        <v>0</v>
      </c>
      <c r="N88" s="123">
        <v>0</v>
      </c>
      <c r="O88" s="123">
        <v>0</v>
      </c>
      <c r="P88" s="123">
        <v>0</v>
      </c>
      <c r="Q88" s="123">
        <v>0</v>
      </c>
      <c r="R88" s="123">
        <v>0</v>
      </c>
      <c r="S88" s="123">
        <v>0</v>
      </c>
      <c r="T88" s="86">
        <f>SUM(M88:S88)</f>
        <v>0</v>
      </c>
      <c r="U88" s="87">
        <f t="shared" si="41"/>
        <v>0</v>
      </c>
      <c r="V88" s="81" t="s">
        <v>400</v>
      </c>
      <c r="W88" s="87"/>
      <c r="X88" s="86">
        <f t="shared" si="44"/>
        <v>51912.87999999999</v>
      </c>
      <c r="Y88" s="87"/>
      <c r="Z88" s="86">
        <f t="shared" si="45"/>
        <v>0</v>
      </c>
      <c r="AA88" s="87"/>
      <c r="AB88" s="86">
        <f>I88-T88</f>
        <v>51912.87999999999</v>
      </c>
      <c r="AC88" s="86"/>
      <c r="AD88" s="91">
        <v>0</v>
      </c>
      <c r="AE88" s="86"/>
      <c r="AF88" s="87">
        <f t="shared" si="8"/>
        <v>-1</v>
      </c>
    </row>
    <row r="89" spans="1:32" s="44" customFormat="1" ht="54.9" customHeight="1" x14ac:dyDescent="1.05">
      <c r="A89" s="81" t="s">
        <v>389</v>
      </c>
      <c r="B89" s="86">
        <v>0</v>
      </c>
      <c r="C89" s="86">
        <v>0</v>
      </c>
      <c r="D89" s="86">
        <f>DEP!N64</f>
        <v>8625.0299999999988</v>
      </c>
      <c r="E89" s="86">
        <v>0</v>
      </c>
      <c r="F89" s="86">
        <v>0</v>
      </c>
      <c r="G89" s="86">
        <v>0</v>
      </c>
      <c r="H89" s="86">
        <v>0</v>
      </c>
      <c r="I89" s="86">
        <f t="shared" si="39"/>
        <v>8625.0299999999988</v>
      </c>
      <c r="J89" s="87">
        <f t="shared" si="40"/>
        <v>6.8460852280115871E-3</v>
      </c>
      <c r="K89" s="87"/>
      <c r="L89" s="81" t="s">
        <v>389</v>
      </c>
      <c r="M89" s="123">
        <v>0</v>
      </c>
      <c r="N89" s="123">
        <v>0</v>
      </c>
      <c r="O89" s="123">
        <v>0</v>
      </c>
      <c r="P89" s="123">
        <v>0</v>
      </c>
      <c r="Q89" s="123">
        <v>0</v>
      </c>
      <c r="R89" s="123">
        <v>0</v>
      </c>
      <c r="S89" s="123">
        <v>0</v>
      </c>
      <c r="T89" s="86">
        <f>SUM(M89:S89)</f>
        <v>0</v>
      </c>
      <c r="U89" s="87">
        <f t="shared" si="41"/>
        <v>0</v>
      </c>
      <c r="V89" s="81" t="s">
        <v>389</v>
      </c>
      <c r="W89" s="87"/>
      <c r="X89" s="86">
        <f t="shared" si="44"/>
        <v>8625.0299999999988</v>
      </c>
      <c r="Y89" s="87"/>
      <c r="Z89" s="86">
        <f t="shared" si="45"/>
        <v>0</v>
      </c>
      <c r="AA89" s="87"/>
      <c r="AB89" s="86">
        <f t="shared" si="42"/>
        <v>8625.0299999999988</v>
      </c>
      <c r="AC89" s="86"/>
      <c r="AD89" s="91">
        <v>0</v>
      </c>
      <c r="AE89" s="86"/>
      <c r="AF89" s="87">
        <f t="shared" si="8"/>
        <v>-1</v>
      </c>
    </row>
    <row r="90" spans="1:32" s="44" customFormat="1" ht="54.9" customHeight="1" x14ac:dyDescent="1.05">
      <c r="A90" s="81" t="s">
        <v>255</v>
      </c>
      <c r="B90" s="86">
        <f>CNT!N249+CNT!N267</f>
        <v>25030.730000000003</v>
      </c>
      <c r="C90" s="86">
        <v>0</v>
      </c>
      <c r="D90" s="86">
        <f>DEP!N60</f>
        <v>62543.58</v>
      </c>
      <c r="E90" s="86">
        <v>0</v>
      </c>
      <c r="F90" s="86">
        <f>'BSC (Dome)'!N64:N64</f>
        <v>1726.5299999999995</v>
      </c>
      <c r="G90" s="86">
        <v>0</v>
      </c>
      <c r="H90" s="86">
        <v>0</v>
      </c>
      <c r="I90" s="86">
        <f t="shared" si="39"/>
        <v>89300.84</v>
      </c>
      <c r="J90" s="87">
        <f t="shared" si="40"/>
        <v>7.0882206968906347E-2</v>
      </c>
      <c r="K90" s="87"/>
      <c r="L90" s="81" t="s">
        <v>255</v>
      </c>
      <c r="M90" s="123">
        <v>4362.2</v>
      </c>
      <c r="N90" s="123">
        <v>0</v>
      </c>
      <c r="O90" s="123">
        <v>0</v>
      </c>
      <c r="P90" s="123">
        <v>0</v>
      </c>
      <c r="Q90" s="123">
        <v>3087.56</v>
      </c>
      <c r="R90" s="123">
        <v>0</v>
      </c>
      <c r="S90" s="123">
        <v>0</v>
      </c>
      <c r="T90" s="86">
        <f t="shared" si="2"/>
        <v>7449.76</v>
      </c>
      <c r="U90" s="87">
        <f t="shared" si="41"/>
        <v>7.0999878324208218E-3</v>
      </c>
      <c r="V90" s="81" t="s">
        <v>255</v>
      </c>
      <c r="W90" s="87"/>
      <c r="X90" s="86">
        <f t="shared" si="44"/>
        <v>89300.84</v>
      </c>
      <c r="Y90" s="87"/>
      <c r="Z90" s="86">
        <f t="shared" si="45"/>
        <v>7449.76</v>
      </c>
      <c r="AA90" s="87"/>
      <c r="AB90" s="86">
        <f t="shared" si="42"/>
        <v>81851.08</v>
      </c>
      <c r="AC90" s="86"/>
      <c r="AD90" s="87">
        <f t="shared" si="43"/>
        <v>11.987076093726509</v>
      </c>
      <c r="AE90" s="86"/>
      <c r="AF90" s="87">
        <f t="shared" si="8"/>
        <v>10.987076093726509</v>
      </c>
    </row>
    <row r="91" spans="1:32" s="44" customFormat="1" ht="54.9" customHeight="1" x14ac:dyDescent="1.05">
      <c r="A91" s="81" t="s">
        <v>256</v>
      </c>
      <c r="B91" s="86">
        <f>CNT!N253</f>
        <v>32845.799999999996</v>
      </c>
      <c r="C91" s="86">
        <f>BPM!N60</f>
        <v>912.49</v>
      </c>
      <c r="D91" s="86">
        <f>DEP!N70</f>
        <v>2477.5</v>
      </c>
      <c r="E91" s="86">
        <v>0</v>
      </c>
      <c r="F91" s="86">
        <f>'BSC (Dome)'!N70</f>
        <v>642</v>
      </c>
      <c r="G91" s="86">
        <v>0</v>
      </c>
      <c r="H91" s="86">
        <v>0</v>
      </c>
      <c r="I91" s="86">
        <f t="shared" si="39"/>
        <v>36877.789999999994</v>
      </c>
      <c r="J91" s="87">
        <f t="shared" si="40"/>
        <v>2.927160756086801E-2</v>
      </c>
      <c r="K91" s="87"/>
      <c r="L91" s="81" t="s">
        <v>256</v>
      </c>
      <c r="M91" s="123">
        <v>43682.31</v>
      </c>
      <c r="N91" s="123">
        <v>1125.75</v>
      </c>
      <c r="O91" s="123">
        <v>3841.71</v>
      </c>
      <c r="P91" s="123">
        <v>0</v>
      </c>
      <c r="Q91" s="123">
        <v>623</v>
      </c>
      <c r="R91" s="123">
        <v>0</v>
      </c>
      <c r="S91" s="123">
        <v>0</v>
      </c>
      <c r="T91" s="86">
        <f t="shared" si="2"/>
        <v>49272.77</v>
      </c>
      <c r="U91" s="87">
        <f t="shared" si="41"/>
        <v>4.6959374190533615E-2</v>
      </c>
      <c r="V91" s="81" t="s">
        <v>256</v>
      </c>
      <c r="W91" s="87"/>
      <c r="X91" s="86">
        <f t="shared" si="44"/>
        <v>36877.789999999994</v>
      </c>
      <c r="Y91" s="87"/>
      <c r="Z91" s="86">
        <f t="shared" si="45"/>
        <v>49272.77</v>
      </c>
      <c r="AA91" s="87"/>
      <c r="AB91" s="86">
        <f t="shared" si="42"/>
        <v>-12394.980000000003</v>
      </c>
      <c r="AC91" s="86"/>
      <c r="AD91" s="87">
        <f t="shared" si="43"/>
        <v>0.74844158345471534</v>
      </c>
      <c r="AE91" s="86"/>
      <c r="AF91" s="87">
        <f t="shared" si="8"/>
        <v>-0.25155841654528466</v>
      </c>
    </row>
    <row r="92" spans="1:32" s="44" customFormat="1" ht="54.9" customHeight="1" x14ac:dyDescent="1.05">
      <c r="A92" s="81" t="s">
        <v>257</v>
      </c>
      <c r="B92" s="86">
        <f>CNT!N254</f>
        <v>25853.820000000003</v>
      </c>
      <c r="C92" s="86">
        <f>0</f>
        <v>0</v>
      </c>
      <c r="D92" s="86">
        <f>DEP!N67</f>
        <v>8660.34</v>
      </c>
      <c r="E92" s="86">
        <v>0</v>
      </c>
      <c r="F92" s="86">
        <v>0</v>
      </c>
      <c r="G92" s="86">
        <v>0</v>
      </c>
      <c r="H92" s="86">
        <v>0</v>
      </c>
      <c r="I92" s="86">
        <f t="shared" si="39"/>
        <v>34514.160000000003</v>
      </c>
      <c r="J92" s="87">
        <f t="shared" si="40"/>
        <v>2.7395485109411612E-2</v>
      </c>
      <c r="K92" s="87"/>
      <c r="L92" s="81" t="s">
        <v>257</v>
      </c>
      <c r="M92" s="123">
        <v>29498.560000000001</v>
      </c>
      <c r="N92" s="123">
        <v>0</v>
      </c>
      <c r="O92" s="123">
        <v>0</v>
      </c>
      <c r="P92" s="123">
        <v>0</v>
      </c>
      <c r="Q92" s="123">
        <v>0</v>
      </c>
      <c r="R92" s="123">
        <v>0</v>
      </c>
      <c r="S92" s="123">
        <v>0</v>
      </c>
      <c r="T92" s="86">
        <f t="shared" si="2"/>
        <v>29498.560000000001</v>
      </c>
      <c r="U92" s="87">
        <f t="shared" si="41"/>
        <v>2.811357910509004E-2</v>
      </c>
      <c r="V92" s="81" t="s">
        <v>257</v>
      </c>
      <c r="W92" s="87"/>
      <c r="X92" s="86">
        <f t="shared" si="44"/>
        <v>34514.160000000003</v>
      </c>
      <c r="Y92" s="87"/>
      <c r="Z92" s="86">
        <f t="shared" si="45"/>
        <v>29498.560000000001</v>
      </c>
      <c r="AA92" s="87"/>
      <c r="AB92" s="86">
        <f t="shared" si="42"/>
        <v>5015.6000000000022</v>
      </c>
      <c r="AC92" s="86"/>
      <c r="AD92" s="91">
        <v>0</v>
      </c>
      <c r="AE92" s="86"/>
      <c r="AF92" s="87">
        <f t="shared" si="8"/>
        <v>-1</v>
      </c>
    </row>
    <row r="93" spans="1:32" s="44" customFormat="1" ht="54.9" customHeight="1" x14ac:dyDescent="1.05">
      <c r="A93" s="81" t="s">
        <v>294</v>
      </c>
      <c r="B93" s="86">
        <f>CNT!N244</f>
        <v>543.67999999999995</v>
      </c>
      <c r="C93" s="86">
        <f>0</f>
        <v>0</v>
      </c>
      <c r="D93" s="86">
        <f>DEP!N59</f>
        <v>5310.59</v>
      </c>
      <c r="E93" s="86">
        <v>0</v>
      </c>
      <c r="F93" s="86">
        <f>'BSC (Dome)'!N63</f>
        <v>2600</v>
      </c>
      <c r="G93" s="86">
        <v>0</v>
      </c>
      <c r="H93" s="86">
        <v>0</v>
      </c>
      <c r="I93" s="86">
        <f t="shared" si="39"/>
        <v>8454.27</v>
      </c>
      <c r="J93" s="87">
        <f t="shared" si="40"/>
        <v>6.7105451181759986E-3</v>
      </c>
      <c r="K93" s="87"/>
      <c r="L93" s="81" t="s">
        <v>294</v>
      </c>
      <c r="M93" s="123">
        <v>4387.99</v>
      </c>
      <c r="N93" s="123">
        <v>0</v>
      </c>
      <c r="O93" s="123">
        <v>0</v>
      </c>
      <c r="P93" s="123">
        <v>0</v>
      </c>
      <c r="Q93" s="123">
        <v>950</v>
      </c>
      <c r="R93" s="123">
        <v>0</v>
      </c>
      <c r="S93" s="123">
        <v>0</v>
      </c>
      <c r="T93" s="86">
        <f>SUM(M93:S93)</f>
        <v>5337.99</v>
      </c>
      <c r="U93" s="87">
        <f t="shared" si="41"/>
        <v>5.0873671164687216E-3</v>
      </c>
      <c r="V93" s="81" t="s">
        <v>294</v>
      </c>
      <c r="W93" s="87"/>
      <c r="X93" s="86">
        <f t="shared" si="44"/>
        <v>8454.27</v>
      </c>
      <c r="Y93" s="87"/>
      <c r="Z93" s="86">
        <f t="shared" si="45"/>
        <v>5337.99</v>
      </c>
      <c r="AA93" s="87"/>
      <c r="AB93" s="86">
        <f t="shared" si="42"/>
        <v>3116.2800000000007</v>
      </c>
      <c r="AC93" s="86"/>
      <c r="AD93" s="91">
        <v>0</v>
      </c>
      <c r="AE93" s="86"/>
      <c r="AF93" s="114">
        <v>0</v>
      </c>
    </row>
    <row r="94" spans="1:32" s="44" customFormat="1" ht="54.9" customHeight="1" x14ac:dyDescent="1.05">
      <c r="A94" s="81" t="s">
        <v>375</v>
      </c>
      <c r="B94" s="86">
        <f>CNT!N250</f>
        <v>6678.97</v>
      </c>
      <c r="C94" s="86">
        <v>0</v>
      </c>
      <c r="D94" s="86">
        <v>0</v>
      </c>
      <c r="E94" s="86">
        <v>0</v>
      </c>
      <c r="F94" s="86">
        <f>'BSC (Dome)'!N65</f>
        <v>14027.4</v>
      </c>
      <c r="G94" s="86">
        <v>0</v>
      </c>
      <c r="H94" s="86">
        <v>0</v>
      </c>
      <c r="I94" s="86">
        <f t="shared" si="39"/>
        <v>20706.37</v>
      </c>
      <c r="J94" s="87">
        <f t="shared" si="40"/>
        <v>1.6435603561117156E-2</v>
      </c>
      <c r="K94" s="87"/>
      <c r="L94" s="81" t="s">
        <v>375</v>
      </c>
      <c r="M94" s="123">
        <v>989</v>
      </c>
      <c r="N94" s="123">
        <v>0</v>
      </c>
      <c r="O94" s="123">
        <v>0</v>
      </c>
      <c r="P94" s="123">
        <v>0</v>
      </c>
      <c r="Q94" s="123">
        <v>11162.36</v>
      </c>
      <c r="R94" s="123">
        <v>0</v>
      </c>
      <c r="S94" s="123">
        <v>0</v>
      </c>
      <c r="T94" s="86">
        <f>SUM(M94:S94)</f>
        <v>12151.36</v>
      </c>
      <c r="U94" s="87">
        <f t="shared" si="41"/>
        <v>1.1580843966431815E-2</v>
      </c>
      <c r="V94" s="81" t="s">
        <v>375</v>
      </c>
      <c r="W94" s="87"/>
      <c r="X94" s="86">
        <f t="shared" si="44"/>
        <v>20706.37</v>
      </c>
      <c r="Y94" s="87"/>
      <c r="Z94" s="86">
        <f t="shared" si="45"/>
        <v>12151.36</v>
      </c>
      <c r="AA94" s="87"/>
      <c r="AB94" s="86">
        <f t="shared" si="42"/>
        <v>8555.0099999999984</v>
      </c>
      <c r="AC94" s="86"/>
      <c r="AD94" s="87">
        <f t="shared" si="43"/>
        <v>1.704037243567798</v>
      </c>
      <c r="AE94" s="86"/>
      <c r="AF94" s="114">
        <v>0</v>
      </c>
    </row>
    <row r="95" spans="1:32" s="44" customFormat="1" ht="54.9" customHeight="1" x14ac:dyDescent="1.05">
      <c r="A95" s="81" t="s">
        <v>258</v>
      </c>
      <c r="B95" s="86">
        <f>CNT!N256</f>
        <v>15312.279999999999</v>
      </c>
      <c r="C95" s="86">
        <f>BPM!N69</f>
        <v>7140.03</v>
      </c>
      <c r="D95" s="86">
        <f>DEP!N66</f>
        <v>6690.94</v>
      </c>
      <c r="E95" s="86">
        <v>0</v>
      </c>
      <c r="F95" s="86">
        <v>0</v>
      </c>
      <c r="G95" s="86">
        <v>0</v>
      </c>
      <c r="H95" s="86">
        <v>0</v>
      </c>
      <c r="I95" s="86">
        <f t="shared" si="39"/>
        <v>29143.249999999996</v>
      </c>
      <c r="J95" s="87">
        <f t="shared" si="40"/>
        <v>2.3132345431986751E-2</v>
      </c>
      <c r="K95" s="87"/>
      <c r="L95" s="81" t="s">
        <v>258</v>
      </c>
      <c r="M95" s="123">
        <v>53434.720000000001</v>
      </c>
      <c r="N95" s="123">
        <v>0</v>
      </c>
      <c r="O95" s="123">
        <v>0</v>
      </c>
      <c r="P95" s="123">
        <v>0</v>
      </c>
      <c r="Q95" s="123">
        <v>0</v>
      </c>
      <c r="R95" s="123">
        <v>0</v>
      </c>
      <c r="S95" s="123">
        <v>0</v>
      </c>
      <c r="T95" s="86">
        <f t="shared" si="2"/>
        <v>53434.720000000001</v>
      </c>
      <c r="U95" s="87">
        <f t="shared" si="41"/>
        <v>5.092591732200951E-2</v>
      </c>
      <c r="V95" s="81" t="s">
        <v>258</v>
      </c>
      <c r="W95" s="87"/>
      <c r="X95" s="86">
        <f t="shared" si="44"/>
        <v>29143.249999999996</v>
      </c>
      <c r="Y95" s="87"/>
      <c r="Z95" s="86">
        <f t="shared" si="45"/>
        <v>53434.720000000001</v>
      </c>
      <c r="AA95" s="87"/>
      <c r="AB95" s="86">
        <f t="shared" si="42"/>
        <v>-24291.470000000005</v>
      </c>
      <c r="AC95" s="86"/>
      <c r="AD95" s="91">
        <v>0</v>
      </c>
      <c r="AE95" s="86"/>
      <c r="AF95" s="87">
        <f>AD95-1</f>
        <v>-1</v>
      </c>
    </row>
    <row r="96" spans="1:32" s="44" customFormat="1" ht="54.9" customHeight="1" x14ac:dyDescent="1.05">
      <c r="A96" s="81" t="s">
        <v>259</v>
      </c>
      <c r="B96" s="86">
        <f>CNT!N257+CNT!G268</f>
        <v>20401.87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f t="shared" si="39"/>
        <v>20401.87</v>
      </c>
      <c r="J96" s="87">
        <f t="shared" si="40"/>
        <v>1.6193907827661211E-2</v>
      </c>
      <c r="K96" s="87"/>
      <c r="L96" s="81" t="s">
        <v>259</v>
      </c>
      <c r="M96" s="123">
        <v>0</v>
      </c>
      <c r="N96" s="123">
        <v>0</v>
      </c>
      <c r="O96" s="123">
        <v>0</v>
      </c>
      <c r="P96" s="123">
        <v>0</v>
      </c>
      <c r="Q96" s="123">
        <v>0</v>
      </c>
      <c r="R96" s="123">
        <v>0</v>
      </c>
      <c r="S96" s="123">
        <v>0</v>
      </c>
      <c r="T96" s="86">
        <f t="shared" si="2"/>
        <v>0</v>
      </c>
      <c r="U96" s="87">
        <f t="shared" si="41"/>
        <v>0</v>
      </c>
      <c r="V96" s="81" t="s">
        <v>259</v>
      </c>
      <c r="W96" s="87"/>
      <c r="X96" s="86">
        <f t="shared" si="44"/>
        <v>20401.87</v>
      </c>
      <c r="Y96" s="87"/>
      <c r="Z96" s="86">
        <f t="shared" si="45"/>
        <v>0</v>
      </c>
      <c r="AA96" s="87"/>
      <c r="AB96" s="86">
        <f t="shared" si="42"/>
        <v>20401.87</v>
      </c>
      <c r="AC96" s="86"/>
      <c r="AD96" s="91">
        <v>0</v>
      </c>
      <c r="AE96" s="86"/>
      <c r="AF96" s="114">
        <v>0</v>
      </c>
    </row>
    <row r="97" spans="1:33" s="44" customFormat="1" ht="54.9" customHeight="1" x14ac:dyDescent="1.05">
      <c r="A97" s="81" t="s">
        <v>260</v>
      </c>
      <c r="B97" s="86">
        <f>CNT!N258</f>
        <v>5621.29</v>
      </c>
      <c r="C97" s="86">
        <v>0</v>
      </c>
      <c r="D97" s="86">
        <v>0</v>
      </c>
      <c r="E97" s="86">
        <v>0</v>
      </c>
      <c r="F97" s="86">
        <v>0</v>
      </c>
      <c r="G97" s="86">
        <v>0</v>
      </c>
      <c r="H97" s="86">
        <v>0</v>
      </c>
      <c r="I97" s="86">
        <f t="shared" si="39"/>
        <v>5621.29</v>
      </c>
      <c r="J97" s="87">
        <f t="shared" si="40"/>
        <v>4.4618778637719823E-3</v>
      </c>
      <c r="K97" s="87"/>
      <c r="L97" s="81" t="s">
        <v>260</v>
      </c>
      <c r="M97" s="123">
        <v>21942.07</v>
      </c>
      <c r="N97" s="123">
        <v>0</v>
      </c>
      <c r="O97" s="123">
        <v>0</v>
      </c>
      <c r="P97" s="123">
        <v>0</v>
      </c>
      <c r="Q97" s="123">
        <v>0</v>
      </c>
      <c r="R97" s="123">
        <v>0</v>
      </c>
      <c r="S97" s="123">
        <v>0</v>
      </c>
      <c r="T97" s="86">
        <f>SUM(M97:S97)</f>
        <v>21942.07</v>
      </c>
      <c r="U97" s="87">
        <f t="shared" si="41"/>
        <v>2.0911872331206099E-2</v>
      </c>
      <c r="V97" s="81" t="s">
        <v>260</v>
      </c>
      <c r="W97" s="87"/>
      <c r="X97" s="86">
        <f t="shared" si="44"/>
        <v>5621.29</v>
      </c>
      <c r="Y97" s="87"/>
      <c r="Z97" s="86">
        <f t="shared" si="45"/>
        <v>21942.07</v>
      </c>
      <c r="AA97" s="87"/>
      <c r="AB97" s="86">
        <f t="shared" si="42"/>
        <v>-16320.779999999999</v>
      </c>
      <c r="AC97" s="86"/>
      <c r="AD97" s="91">
        <v>0</v>
      </c>
      <c r="AE97" s="86"/>
      <c r="AF97" s="87">
        <f>AD97-1</f>
        <v>-1</v>
      </c>
    </row>
    <row r="98" spans="1:33" s="44" customFormat="1" ht="54.9" customHeight="1" x14ac:dyDescent="1.05">
      <c r="A98" s="81" t="s">
        <v>261</v>
      </c>
      <c r="B98" s="86">
        <f>CNT!N259</f>
        <v>23199.160000000003</v>
      </c>
      <c r="C98" s="86">
        <v>0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f t="shared" si="39"/>
        <v>23199.160000000003</v>
      </c>
      <c r="J98" s="87">
        <f t="shared" si="40"/>
        <v>1.8414246278363942E-2</v>
      </c>
      <c r="K98" s="87"/>
      <c r="L98" s="81" t="s">
        <v>261</v>
      </c>
      <c r="M98" s="123">
        <v>0</v>
      </c>
      <c r="N98" s="123">
        <v>0</v>
      </c>
      <c r="O98" s="123">
        <v>0</v>
      </c>
      <c r="P98" s="123">
        <v>0</v>
      </c>
      <c r="Q98" s="123">
        <v>0</v>
      </c>
      <c r="R98" s="123">
        <v>0</v>
      </c>
      <c r="S98" s="123">
        <v>0</v>
      </c>
      <c r="T98" s="86">
        <f>SUM(M98:S98)</f>
        <v>0</v>
      </c>
      <c r="U98" s="87">
        <f t="shared" si="41"/>
        <v>0</v>
      </c>
      <c r="V98" s="81" t="s">
        <v>261</v>
      </c>
      <c r="W98" s="87"/>
      <c r="X98" s="86">
        <f t="shared" si="44"/>
        <v>23199.160000000003</v>
      </c>
      <c r="Y98" s="87"/>
      <c r="Z98" s="86">
        <f t="shared" si="45"/>
        <v>0</v>
      </c>
      <c r="AA98" s="87"/>
      <c r="AB98" s="86">
        <f>I98-T98</f>
        <v>23199.160000000003</v>
      </c>
      <c r="AC98" s="86"/>
      <c r="AD98" s="104">
        <v>0</v>
      </c>
      <c r="AE98" s="86"/>
      <c r="AF98" s="114">
        <v>0</v>
      </c>
    </row>
    <row r="99" spans="1:33" s="44" customFormat="1" ht="54.9" customHeight="1" x14ac:dyDescent="1.05">
      <c r="A99" s="85" t="s">
        <v>263</v>
      </c>
      <c r="B99" s="88">
        <f>SUM(B79:B98)</f>
        <v>856469.91</v>
      </c>
      <c r="C99" s="88">
        <f t="shared" ref="C99:H99" si="46">SUM(C79:C98)</f>
        <v>87909.52</v>
      </c>
      <c r="D99" s="88">
        <f t="shared" si="46"/>
        <v>221349.53000000003</v>
      </c>
      <c r="E99" s="88">
        <f t="shared" si="46"/>
        <v>31775.25</v>
      </c>
      <c r="F99" s="88">
        <f>SUM(F79:F98)</f>
        <v>55394.01</v>
      </c>
      <c r="G99" s="88">
        <f t="shared" si="46"/>
        <v>3445</v>
      </c>
      <c r="H99" s="88">
        <f t="shared" si="46"/>
        <v>3505.25</v>
      </c>
      <c r="I99" s="88">
        <f t="shared" si="39"/>
        <v>1259848.47</v>
      </c>
      <c r="J99" s="89">
        <f>SUM(J79:J98)</f>
        <v>1</v>
      </c>
      <c r="K99" s="87"/>
      <c r="L99" s="85" t="s">
        <v>263</v>
      </c>
      <c r="M99" s="124">
        <f>SUM(M79:M98)</f>
        <v>773146.87</v>
      </c>
      <c r="N99" s="124">
        <f t="shared" ref="N99:S99" si="47">SUM(N79:N98)</f>
        <v>83215.520000000004</v>
      </c>
      <c r="O99" s="124">
        <f t="shared" si="47"/>
        <v>106488.09000000001</v>
      </c>
      <c r="P99" s="124">
        <f t="shared" si="47"/>
        <v>7892.37</v>
      </c>
      <c r="Q99" s="124">
        <f t="shared" si="47"/>
        <v>64606.78</v>
      </c>
      <c r="R99" s="124">
        <f t="shared" si="47"/>
        <v>11156.87</v>
      </c>
      <c r="S99" s="124">
        <f t="shared" si="47"/>
        <v>2757.27</v>
      </c>
      <c r="T99" s="88">
        <f>SUM(M99:S99)</f>
        <v>1049263.77</v>
      </c>
      <c r="U99" s="89">
        <f>SUM(U79:U98)</f>
        <v>0.99999999999999989</v>
      </c>
      <c r="V99" s="85" t="s">
        <v>263</v>
      </c>
      <c r="W99" s="87"/>
      <c r="X99" s="88">
        <f t="shared" si="44"/>
        <v>1259848.47</v>
      </c>
      <c r="Y99" s="87"/>
      <c r="Z99" s="88">
        <f t="shared" si="45"/>
        <v>1049263.77</v>
      </c>
      <c r="AA99" s="87"/>
      <c r="AB99" s="88">
        <f>I99-T99</f>
        <v>210584.69999999995</v>
      </c>
      <c r="AC99" s="88"/>
      <c r="AD99" s="115">
        <f>I99/T99</f>
        <v>1.2006975805521236</v>
      </c>
      <c r="AE99" s="88"/>
      <c r="AF99" s="89">
        <f>AD99-1</f>
        <v>0.20069758055212361</v>
      </c>
    </row>
    <row r="100" spans="1:33" s="44" customFormat="1" ht="54.9" customHeight="1" x14ac:dyDescent="1.05">
      <c r="A100" s="81"/>
      <c r="B100" s="86"/>
      <c r="C100" s="86"/>
      <c r="D100" s="86"/>
      <c r="E100" s="86"/>
      <c r="F100" s="86"/>
      <c r="G100" s="86"/>
      <c r="H100" s="86"/>
      <c r="I100" s="86">
        <f t="shared" si="39"/>
        <v>0</v>
      </c>
      <c r="J100" s="81"/>
      <c r="K100" s="81"/>
      <c r="L100" s="81"/>
      <c r="M100" s="123"/>
      <c r="N100" s="123"/>
      <c r="O100" s="123"/>
      <c r="P100" s="123"/>
      <c r="Q100" s="123"/>
      <c r="R100" s="123"/>
      <c r="S100" s="123"/>
      <c r="T100" s="86">
        <f>SUM(M100:S100)</f>
        <v>0</v>
      </c>
      <c r="U100" s="81"/>
      <c r="V100" s="81"/>
      <c r="W100" s="81"/>
      <c r="X100" s="86"/>
      <c r="Y100" s="81"/>
      <c r="Z100" s="86">
        <f t="shared" si="45"/>
        <v>0</v>
      </c>
      <c r="AA100" s="81"/>
      <c r="AB100" s="86"/>
      <c r="AC100" s="86"/>
      <c r="AD100" s="111"/>
      <c r="AE100" s="86"/>
      <c r="AF100" s="87"/>
    </row>
    <row r="101" spans="1:33" s="44" customFormat="1" ht="54.9" customHeight="1" thickBot="1" x14ac:dyDescent="1.1000000000000001">
      <c r="A101" s="85" t="s">
        <v>264</v>
      </c>
      <c r="B101" s="90">
        <f t="shared" ref="B101:H101" si="48">B51+B76+B99</f>
        <v>6816947.0199999996</v>
      </c>
      <c r="C101" s="90">
        <f t="shared" si="48"/>
        <v>1021978.9999999999</v>
      </c>
      <c r="D101" s="90">
        <f t="shared" si="48"/>
        <v>2440886.9500000002</v>
      </c>
      <c r="E101" s="90">
        <f t="shared" si="48"/>
        <v>31884.25</v>
      </c>
      <c r="F101" s="90">
        <f t="shared" si="48"/>
        <v>771903.3</v>
      </c>
      <c r="G101" s="90">
        <f t="shared" si="48"/>
        <v>114978.19000000003</v>
      </c>
      <c r="H101" s="90">
        <f t="shared" si="48"/>
        <v>180859.21000000002</v>
      </c>
      <c r="I101" s="90">
        <f t="shared" si="39"/>
        <v>11379437.92</v>
      </c>
      <c r="J101" s="86">
        <f>SUM(I41:I50)+SUM(I54:I75)+SUM(I79:I98)-I101</f>
        <v>0</v>
      </c>
      <c r="K101" s="81"/>
      <c r="L101" s="85" t="s">
        <v>264</v>
      </c>
      <c r="M101" s="125">
        <f>M51+M76+M99</f>
        <v>7312697.3799999999</v>
      </c>
      <c r="N101" s="125">
        <f t="shared" ref="N101:S101" si="49">N51+N76+N99</f>
        <v>100446.62</v>
      </c>
      <c r="O101" s="125">
        <f t="shared" si="49"/>
        <v>1182065.6500000001</v>
      </c>
      <c r="P101" s="125">
        <f t="shared" si="49"/>
        <v>7892.37</v>
      </c>
      <c r="Q101" s="125">
        <f t="shared" si="49"/>
        <v>816458.20000000007</v>
      </c>
      <c r="R101" s="125">
        <f t="shared" si="49"/>
        <v>122963.02</v>
      </c>
      <c r="S101" s="125">
        <f t="shared" si="49"/>
        <v>139513.26999999999</v>
      </c>
      <c r="T101" s="90">
        <f>SUM(M101:S101)</f>
        <v>9682036.5099999979</v>
      </c>
      <c r="U101" s="86">
        <f>SUM(T41:T50)+SUM(T54:T75)+SUM(T79:T98)-T101</f>
        <v>0</v>
      </c>
      <c r="V101" s="85" t="s">
        <v>264</v>
      </c>
      <c r="W101" s="81"/>
      <c r="X101" s="90">
        <f t="shared" si="44"/>
        <v>11379437.92</v>
      </c>
      <c r="Y101" s="81"/>
      <c r="Z101" s="90">
        <f t="shared" si="45"/>
        <v>9682036.5099999979</v>
      </c>
      <c r="AA101" s="81"/>
      <c r="AB101" s="90">
        <f>I101-T101</f>
        <v>1697401.410000002</v>
      </c>
      <c r="AC101" s="90"/>
      <c r="AD101" s="116">
        <f>I101/T101</f>
        <v>1.1753145020933207</v>
      </c>
      <c r="AE101" s="90"/>
      <c r="AF101" s="112">
        <v>0</v>
      </c>
    </row>
    <row r="102" spans="1:33" s="44" customFormat="1" ht="54.9" customHeight="1" x14ac:dyDescent="1.05">
      <c r="A102" s="81"/>
      <c r="B102" s="86"/>
      <c r="C102" s="86"/>
      <c r="D102" s="86"/>
      <c r="E102" s="86"/>
      <c r="F102" s="86"/>
      <c r="G102" s="86"/>
      <c r="H102" s="86"/>
      <c r="I102" s="86"/>
      <c r="J102" s="81"/>
      <c r="K102" s="81"/>
      <c r="L102" s="81"/>
      <c r="M102" s="123"/>
      <c r="N102" s="123"/>
      <c r="O102" s="123"/>
      <c r="P102" s="123"/>
      <c r="Q102" s="123"/>
      <c r="R102" s="123"/>
      <c r="S102" s="123"/>
      <c r="T102" s="86"/>
      <c r="U102" s="81"/>
      <c r="V102" s="81"/>
      <c r="W102" s="81"/>
      <c r="X102" s="107"/>
      <c r="Y102" s="81"/>
      <c r="Z102" s="107">
        <f t="shared" si="45"/>
        <v>0</v>
      </c>
      <c r="AA102" s="81"/>
      <c r="AB102" s="107"/>
      <c r="AC102" s="107"/>
      <c r="AD102" s="111"/>
      <c r="AE102" s="107"/>
      <c r="AF102" s="111"/>
    </row>
    <row r="103" spans="1:33" s="44" customFormat="1" ht="54.9" customHeight="1" x14ac:dyDescent="1.05">
      <c r="A103" s="85" t="s">
        <v>462</v>
      </c>
      <c r="B103" s="86"/>
      <c r="C103" s="86"/>
      <c r="D103" s="86"/>
      <c r="E103" s="86"/>
      <c r="F103" s="86"/>
      <c r="G103" s="86"/>
      <c r="H103" s="86"/>
      <c r="I103" s="86"/>
      <c r="J103" s="81"/>
      <c r="K103" s="81"/>
      <c r="L103" s="85" t="s">
        <v>462</v>
      </c>
      <c r="M103" s="123"/>
      <c r="N103" s="123"/>
      <c r="O103" s="123"/>
      <c r="P103" s="123"/>
      <c r="Q103" s="123"/>
      <c r="R103" s="123"/>
      <c r="S103" s="123"/>
      <c r="T103" s="86"/>
      <c r="U103" s="81"/>
      <c r="V103" s="85" t="s">
        <v>462</v>
      </c>
      <c r="W103" s="81"/>
      <c r="X103" s="107"/>
      <c r="Y103" s="81"/>
      <c r="Z103" s="107">
        <f t="shared" si="45"/>
        <v>0</v>
      </c>
      <c r="AA103" s="81"/>
      <c r="AB103" s="107"/>
      <c r="AC103" s="107"/>
      <c r="AD103" s="109"/>
      <c r="AE103" s="109"/>
      <c r="AF103" s="109"/>
      <c r="AG103" s="48"/>
    </row>
    <row r="104" spans="1:33" s="44" customFormat="1" ht="54.9" customHeight="1" x14ac:dyDescent="1.05">
      <c r="A104" s="81" t="s">
        <v>267</v>
      </c>
      <c r="B104" s="86">
        <f>CNT!N273</f>
        <v>150000</v>
      </c>
      <c r="C104" s="86">
        <v>0</v>
      </c>
      <c r="D104" s="86">
        <f>DEP!N76</f>
        <v>150000</v>
      </c>
      <c r="E104" s="86">
        <v>0</v>
      </c>
      <c r="F104" s="86">
        <f>'BSC (Dome)'!N76+'BSC (Dome)'!N77</f>
        <v>65000</v>
      </c>
      <c r="G104" s="86">
        <f>'Oliari Co.'!N21+'Oliari Co.'!N22+'Oliari Co.'!N23</f>
        <v>272400</v>
      </c>
      <c r="H104" s="86">
        <f>'722 Bedford St'!N22+'722 Bedford St'!N23</f>
        <v>240000</v>
      </c>
      <c r="I104" s="86">
        <f t="shared" ref="I104:I120" si="50">SUM(B104:H104)</f>
        <v>877400</v>
      </c>
      <c r="J104" s="87"/>
      <c r="K104" s="87"/>
      <c r="L104" s="81" t="s">
        <v>267</v>
      </c>
      <c r="M104" s="123">
        <v>150000</v>
      </c>
      <c r="N104" s="123">
        <v>0</v>
      </c>
      <c r="O104" s="123">
        <v>150000</v>
      </c>
      <c r="P104" s="123">
        <v>0</v>
      </c>
      <c r="Q104" s="123">
        <f>61425.61+2200</f>
        <v>63625.61</v>
      </c>
      <c r="R104" s="123">
        <f>12000+200400</f>
        <v>212400</v>
      </c>
      <c r="S104" s="123">
        <v>100000</v>
      </c>
      <c r="T104" s="86">
        <f>SUM(M104:S104)</f>
        <v>676025.61</v>
      </c>
      <c r="U104" s="87"/>
      <c r="V104" s="81" t="s">
        <v>267</v>
      </c>
      <c r="W104" s="87"/>
      <c r="X104" s="86">
        <f t="shared" si="44"/>
        <v>877400</v>
      </c>
      <c r="Y104" s="87"/>
      <c r="Z104" s="86">
        <f t="shared" si="45"/>
        <v>676025.61</v>
      </c>
      <c r="AA104" s="87"/>
      <c r="AB104" s="86">
        <f>I104-T104</f>
        <v>201374.39</v>
      </c>
      <c r="AC104" s="86"/>
      <c r="AD104" s="109"/>
      <c r="AE104" s="109"/>
      <c r="AF104" s="109"/>
      <c r="AG104" s="48"/>
    </row>
    <row r="105" spans="1:33" s="44" customFormat="1" ht="54.9" customHeight="1" x14ac:dyDescent="1.05">
      <c r="A105" s="81" t="s">
        <v>268</v>
      </c>
      <c r="B105" s="86">
        <f>CNT!N274</f>
        <v>0</v>
      </c>
      <c r="C105" s="86">
        <v>0</v>
      </c>
      <c r="D105" s="86">
        <v>0</v>
      </c>
      <c r="E105" s="86">
        <v>0</v>
      </c>
      <c r="F105" s="86">
        <v>0</v>
      </c>
      <c r="G105" s="86">
        <v>0</v>
      </c>
      <c r="H105" s="86">
        <v>0</v>
      </c>
      <c r="I105" s="86">
        <f t="shared" si="50"/>
        <v>0</v>
      </c>
      <c r="J105" s="87"/>
      <c r="K105" s="87"/>
      <c r="L105" s="81" t="s">
        <v>268</v>
      </c>
      <c r="M105" s="123">
        <v>414056.25</v>
      </c>
      <c r="N105" s="123">
        <v>0</v>
      </c>
      <c r="O105" s="123">
        <v>0</v>
      </c>
      <c r="P105" s="123">
        <v>0</v>
      </c>
      <c r="Q105" s="123">
        <v>0</v>
      </c>
      <c r="R105" s="123">
        <v>0</v>
      </c>
      <c r="S105" s="123">
        <v>0</v>
      </c>
      <c r="T105" s="86">
        <f>SUM(M105:S105)</f>
        <v>414056.25</v>
      </c>
      <c r="U105" s="87"/>
      <c r="V105" s="81" t="s">
        <v>268</v>
      </c>
      <c r="W105" s="87"/>
      <c r="X105" s="86">
        <f t="shared" si="44"/>
        <v>0</v>
      </c>
      <c r="Y105" s="87"/>
      <c r="Z105" s="86">
        <f t="shared" si="45"/>
        <v>414056.25</v>
      </c>
      <c r="AA105" s="87"/>
      <c r="AB105" s="86">
        <f t="shared" ref="AB105:AB117" si="51">I105-T105</f>
        <v>-414056.25</v>
      </c>
      <c r="AC105" s="86"/>
      <c r="AD105" s="109"/>
      <c r="AE105" s="109"/>
      <c r="AF105" s="109"/>
      <c r="AG105" s="48"/>
    </row>
    <row r="106" spans="1:33" s="44" customFormat="1" ht="54.9" customHeight="1" x14ac:dyDescent="1.05">
      <c r="A106" s="81" t="s">
        <v>326</v>
      </c>
      <c r="B106" s="86">
        <v>0</v>
      </c>
      <c r="C106" s="86">
        <f>-BPM!N73</f>
        <v>0</v>
      </c>
      <c r="D106" s="86"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f t="shared" si="50"/>
        <v>0</v>
      </c>
      <c r="J106" s="87"/>
      <c r="K106" s="87"/>
      <c r="L106" s="81" t="s">
        <v>326</v>
      </c>
      <c r="M106" s="123">
        <v>0</v>
      </c>
      <c r="N106" s="123">
        <v>-412777.5</v>
      </c>
      <c r="O106" s="123">
        <v>0</v>
      </c>
      <c r="P106" s="123">
        <v>0</v>
      </c>
      <c r="Q106" s="123">
        <v>0</v>
      </c>
      <c r="R106" s="123">
        <v>0</v>
      </c>
      <c r="S106" s="123">
        <v>0</v>
      </c>
      <c r="T106" s="86">
        <f>SUM(M106:S106)</f>
        <v>-412777.5</v>
      </c>
      <c r="U106" s="87"/>
      <c r="V106" s="81" t="s">
        <v>326</v>
      </c>
      <c r="W106" s="87"/>
      <c r="X106" s="86">
        <f t="shared" si="44"/>
        <v>0</v>
      </c>
      <c r="Y106" s="87"/>
      <c r="Z106" s="86">
        <f t="shared" si="45"/>
        <v>-412777.5</v>
      </c>
      <c r="AA106" s="87"/>
      <c r="AB106" s="86">
        <f t="shared" si="51"/>
        <v>412777.5</v>
      </c>
      <c r="AC106" s="86"/>
      <c r="AD106" s="109"/>
      <c r="AE106" s="109"/>
      <c r="AF106" s="109"/>
      <c r="AG106" s="48"/>
    </row>
    <row r="107" spans="1:33" s="44" customFormat="1" ht="54.9" customHeight="1" x14ac:dyDescent="1.05">
      <c r="A107" s="81" t="s">
        <v>386</v>
      </c>
      <c r="B107" s="86">
        <f>CNT!N275</f>
        <v>58198.46</v>
      </c>
      <c r="C107" s="86">
        <f>-BPM!N74</f>
        <v>-58198.46</v>
      </c>
      <c r="D107" s="86">
        <v>0</v>
      </c>
      <c r="E107" s="86">
        <v>0</v>
      </c>
      <c r="F107" s="86">
        <v>0</v>
      </c>
      <c r="G107" s="86">
        <v>0</v>
      </c>
      <c r="H107" s="86">
        <v>0</v>
      </c>
      <c r="I107" s="86">
        <f t="shared" si="50"/>
        <v>0</v>
      </c>
      <c r="J107" s="87"/>
      <c r="K107" s="87"/>
      <c r="L107" s="81" t="s">
        <v>386</v>
      </c>
      <c r="M107" s="123">
        <v>0</v>
      </c>
      <c r="N107" s="123">
        <v>0</v>
      </c>
      <c r="O107" s="123">
        <v>0</v>
      </c>
      <c r="P107" s="123">
        <v>0</v>
      </c>
      <c r="Q107" s="123">
        <v>0</v>
      </c>
      <c r="R107" s="123">
        <v>0</v>
      </c>
      <c r="S107" s="123">
        <v>0</v>
      </c>
      <c r="T107" s="86">
        <v>0</v>
      </c>
      <c r="U107" s="87"/>
      <c r="V107" s="81" t="s">
        <v>386</v>
      </c>
      <c r="W107" s="87"/>
      <c r="X107" s="86">
        <f t="shared" si="44"/>
        <v>0</v>
      </c>
      <c r="Y107" s="87"/>
      <c r="Z107" s="86">
        <f t="shared" si="45"/>
        <v>0</v>
      </c>
      <c r="AA107" s="87"/>
      <c r="AB107" s="86">
        <f t="shared" si="51"/>
        <v>0</v>
      </c>
      <c r="AC107" s="86"/>
      <c r="AD107" s="109"/>
      <c r="AE107" s="109"/>
      <c r="AF107" s="109"/>
      <c r="AG107" s="48"/>
    </row>
    <row r="108" spans="1:33" s="44" customFormat="1" ht="54.9" customHeight="1" x14ac:dyDescent="1.05">
      <c r="A108" s="81" t="s">
        <v>269</v>
      </c>
      <c r="B108" s="86">
        <f>CNT!N276</f>
        <v>191985.05</v>
      </c>
      <c r="C108" s="86">
        <v>0</v>
      </c>
      <c r="D108" s="86">
        <v>0</v>
      </c>
      <c r="E108" s="86">
        <v>0</v>
      </c>
      <c r="F108" s="86">
        <v>0</v>
      </c>
      <c r="G108" s="86">
        <v>0</v>
      </c>
      <c r="H108" s="86">
        <v>0</v>
      </c>
      <c r="I108" s="86">
        <f t="shared" si="50"/>
        <v>191985.05</v>
      </c>
      <c r="J108" s="87"/>
      <c r="K108" s="87"/>
      <c r="L108" s="81" t="s">
        <v>269</v>
      </c>
      <c r="M108" s="123">
        <v>0</v>
      </c>
      <c r="N108" s="123">
        <v>0</v>
      </c>
      <c r="O108" s="123">
        <v>0</v>
      </c>
      <c r="P108" s="123">
        <v>0</v>
      </c>
      <c r="Q108" s="123">
        <v>0</v>
      </c>
      <c r="R108" s="123">
        <v>0</v>
      </c>
      <c r="S108" s="123">
        <v>0</v>
      </c>
      <c r="T108" s="86">
        <f t="shared" ref="T108:T120" si="52">SUM(M108:S108)</f>
        <v>0</v>
      </c>
      <c r="U108" s="87"/>
      <c r="V108" s="81" t="s">
        <v>269</v>
      </c>
      <c r="W108" s="87"/>
      <c r="X108" s="86">
        <f t="shared" si="44"/>
        <v>191985.05</v>
      </c>
      <c r="Y108" s="87"/>
      <c r="Z108" s="86">
        <f t="shared" si="45"/>
        <v>0</v>
      </c>
      <c r="AA108" s="87"/>
      <c r="AB108" s="86">
        <f t="shared" si="51"/>
        <v>191985.05</v>
      </c>
      <c r="AC108" s="86"/>
      <c r="AD108" s="109"/>
      <c r="AE108" s="109"/>
      <c r="AF108" s="109"/>
      <c r="AG108" s="48"/>
    </row>
    <row r="109" spans="1:33" s="44" customFormat="1" ht="54.9" customHeight="1" x14ac:dyDescent="1.05">
      <c r="A109" s="81" t="s">
        <v>270</v>
      </c>
      <c r="B109" s="86">
        <f>CNT!N277</f>
        <v>288235.61</v>
      </c>
      <c r="C109" s="86">
        <f>-BPM!N75</f>
        <v>13994.72</v>
      </c>
      <c r="D109" s="86">
        <f>DEP!N77</f>
        <v>34785.49</v>
      </c>
      <c r="E109" s="86">
        <f>Lending!N17</f>
        <v>51929.259999999995</v>
      </c>
      <c r="F109" s="86">
        <v>0</v>
      </c>
      <c r="G109" s="86">
        <f>'Oliari Co.'!N25</f>
        <v>43677.48</v>
      </c>
      <c r="H109" s="86">
        <v>0</v>
      </c>
      <c r="I109" s="86">
        <f t="shared" si="50"/>
        <v>432622.55999999994</v>
      </c>
      <c r="J109" s="87"/>
      <c r="K109" s="87"/>
      <c r="L109" s="81" t="s">
        <v>270</v>
      </c>
      <c r="M109" s="123">
        <v>345825.2</v>
      </c>
      <c r="N109" s="123">
        <v>0</v>
      </c>
      <c r="O109" s="123">
        <v>19506.78</v>
      </c>
      <c r="P109" s="123">
        <v>94413.61</v>
      </c>
      <c r="Q109" s="123">
        <v>0</v>
      </c>
      <c r="R109" s="123">
        <v>49541.9</v>
      </c>
      <c r="S109" s="123">
        <v>0</v>
      </c>
      <c r="T109" s="86">
        <f t="shared" si="52"/>
        <v>509287.49</v>
      </c>
      <c r="U109" s="87"/>
      <c r="V109" s="81" t="s">
        <v>270</v>
      </c>
      <c r="W109" s="87"/>
      <c r="X109" s="86">
        <f t="shared" si="44"/>
        <v>432622.55999999994</v>
      </c>
      <c r="Y109" s="87"/>
      <c r="Z109" s="86">
        <f t="shared" si="45"/>
        <v>509287.49</v>
      </c>
      <c r="AA109" s="87"/>
      <c r="AB109" s="86">
        <f t="shared" si="51"/>
        <v>-76664.930000000051</v>
      </c>
      <c r="AC109" s="86"/>
      <c r="AD109" s="109"/>
      <c r="AE109" s="109"/>
      <c r="AF109" s="109"/>
      <c r="AG109" s="48"/>
    </row>
    <row r="110" spans="1:33" s="44" customFormat="1" ht="54.9" customHeight="1" x14ac:dyDescent="1.05">
      <c r="A110" s="81" t="s">
        <v>271</v>
      </c>
      <c r="B110" s="86">
        <f>CNT!N278</f>
        <v>-183630.22999999998</v>
      </c>
      <c r="C110" s="86">
        <v>0</v>
      </c>
      <c r="D110" s="86">
        <v>0</v>
      </c>
      <c r="E110" s="86">
        <f>Lending!N18</f>
        <v>-5412.26</v>
      </c>
      <c r="F110" s="86">
        <f>'BSC (Dome)'!N79+'BSC (Dome)'!N80</f>
        <v>-115819.5</v>
      </c>
      <c r="G110" s="86">
        <f>'Oliari Co.'!N26</f>
        <v>-10331.160000000002</v>
      </c>
      <c r="H110" s="86">
        <f>'722 Bedford St'!N26</f>
        <v>-562.5</v>
      </c>
      <c r="I110" s="86">
        <f t="shared" si="50"/>
        <v>-315755.64999999997</v>
      </c>
      <c r="J110" s="87"/>
      <c r="K110" s="87"/>
      <c r="L110" s="81" t="s">
        <v>271</v>
      </c>
      <c r="M110" s="123">
        <v>-230587.87</v>
      </c>
      <c r="N110" s="123">
        <v>0</v>
      </c>
      <c r="O110" s="123">
        <v>0</v>
      </c>
      <c r="P110" s="123">
        <v>-17767.28</v>
      </c>
      <c r="Q110" s="123">
        <f>-45653.21-72704.52</f>
        <v>-118357.73000000001</v>
      </c>
      <c r="R110" s="123">
        <f>-16173.41-9500.81-10331.16</f>
        <v>-36005.380000000005</v>
      </c>
      <c r="S110" s="123">
        <v>0</v>
      </c>
      <c r="T110" s="86">
        <f t="shared" si="52"/>
        <v>-402718.26</v>
      </c>
      <c r="U110" s="87"/>
      <c r="V110" s="81" t="s">
        <v>271</v>
      </c>
      <c r="W110" s="87"/>
      <c r="X110" s="86">
        <f t="shared" si="44"/>
        <v>-315755.64999999997</v>
      </c>
      <c r="Y110" s="87"/>
      <c r="Z110" s="86">
        <f t="shared" si="45"/>
        <v>-402718.26</v>
      </c>
      <c r="AA110" s="87"/>
      <c r="AB110" s="86">
        <f t="shared" si="51"/>
        <v>86962.610000000044</v>
      </c>
      <c r="AC110" s="86"/>
      <c r="AD110" s="109"/>
      <c r="AE110" s="109"/>
      <c r="AF110" s="109"/>
      <c r="AG110" s="48"/>
    </row>
    <row r="111" spans="1:33" s="44" customFormat="1" ht="54.9" customHeight="1" x14ac:dyDescent="1.05">
      <c r="A111" s="81" t="s">
        <v>272</v>
      </c>
      <c r="B111" s="86">
        <f>CNT!N279</f>
        <v>947.26</v>
      </c>
      <c r="C111" s="86">
        <v>0</v>
      </c>
      <c r="D111" s="86">
        <v>0</v>
      </c>
      <c r="E111" s="86">
        <v>0</v>
      </c>
      <c r="F111" s="86">
        <f>'BSC (Dome)'!N78</f>
        <v>1912.98</v>
      </c>
      <c r="G111" s="86">
        <f>'Oliari Co.'!N24</f>
        <v>1.01</v>
      </c>
      <c r="H111" s="86">
        <v>0</v>
      </c>
      <c r="I111" s="86">
        <f t="shared" si="50"/>
        <v>2861.25</v>
      </c>
      <c r="J111" s="87"/>
      <c r="K111" s="87"/>
      <c r="L111" s="81" t="s">
        <v>272</v>
      </c>
      <c r="M111" s="123">
        <v>0</v>
      </c>
      <c r="N111" s="123">
        <v>0</v>
      </c>
      <c r="O111" s="123">
        <v>0</v>
      </c>
      <c r="P111" s="123">
        <v>0</v>
      </c>
      <c r="Q111" s="123">
        <v>0</v>
      </c>
      <c r="R111" s="123">
        <v>0</v>
      </c>
      <c r="S111" s="123">
        <v>0</v>
      </c>
      <c r="T111" s="86">
        <f t="shared" si="52"/>
        <v>0</v>
      </c>
      <c r="U111" s="87"/>
      <c r="V111" s="81" t="s">
        <v>272</v>
      </c>
      <c r="W111" s="87"/>
      <c r="X111" s="86">
        <f t="shared" si="44"/>
        <v>2861.25</v>
      </c>
      <c r="Y111" s="87"/>
      <c r="Z111" s="86">
        <f t="shared" si="45"/>
        <v>0</v>
      </c>
      <c r="AA111" s="87"/>
      <c r="AB111" s="86">
        <f t="shared" si="51"/>
        <v>2861.25</v>
      </c>
      <c r="AC111" s="86"/>
      <c r="AD111" s="109"/>
      <c r="AE111" s="109"/>
      <c r="AF111" s="109"/>
      <c r="AG111" s="48"/>
    </row>
    <row r="112" spans="1:33" s="44" customFormat="1" ht="54.9" customHeight="1" x14ac:dyDescent="1.05">
      <c r="A112" s="81" t="s">
        <v>401</v>
      </c>
      <c r="B112" s="86">
        <f>CNT!N280</f>
        <v>69833.579999999987</v>
      </c>
      <c r="C112" s="86">
        <v>0</v>
      </c>
      <c r="D112" s="86">
        <v>0</v>
      </c>
      <c r="E112" s="86">
        <v>0</v>
      </c>
      <c r="F112" s="86">
        <v>0</v>
      </c>
      <c r="G112" s="86">
        <v>0</v>
      </c>
      <c r="H112" s="86">
        <v>0</v>
      </c>
      <c r="I112" s="86">
        <f t="shared" si="50"/>
        <v>69833.579999999987</v>
      </c>
      <c r="J112" s="87"/>
      <c r="K112" s="87"/>
      <c r="L112" s="81" t="s">
        <v>401</v>
      </c>
      <c r="M112" s="123">
        <v>0</v>
      </c>
      <c r="N112" s="123">
        <v>0</v>
      </c>
      <c r="O112" s="123">
        <v>0</v>
      </c>
      <c r="P112" s="123">
        <v>0</v>
      </c>
      <c r="Q112" s="123">
        <v>0</v>
      </c>
      <c r="R112" s="123">
        <v>0</v>
      </c>
      <c r="S112" s="123">
        <v>0</v>
      </c>
      <c r="T112" s="86">
        <f t="shared" si="52"/>
        <v>0</v>
      </c>
      <c r="U112" s="87"/>
      <c r="V112" s="81" t="s">
        <v>401</v>
      </c>
      <c r="W112" s="87"/>
      <c r="X112" s="86">
        <f t="shared" si="44"/>
        <v>69833.579999999987</v>
      </c>
      <c r="Y112" s="87"/>
      <c r="Z112" s="86">
        <f t="shared" si="45"/>
        <v>0</v>
      </c>
      <c r="AA112" s="87"/>
      <c r="AB112" s="86">
        <f t="shared" si="51"/>
        <v>69833.579999999987</v>
      </c>
      <c r="AC112" s="86"/>
      <c r="AD112" s="109"/>
      <c r="AE112" s="109"/>
      <c r="AF112" s="109"/>
      <c r="AG112" s="48"/>
    </row>
    <row r="113" spans="1:33" s="44" customFormat="1" ht="54.9" customHeight="1" x14ac:dyDescent="1.05">
      <c r="A113" s="81" t="s">
        <v>438</v>
      </c>
      <c r="B113" s="86">
        <f>CNT!N281</f>
        <v>7234</v>
      </c>
      <c r="C113" s="86">
        <v>0</v>
      </c>
      <c r="D113" s="86">
        <v>0</v>
      </c>
      <c r="E113" s="86">
        <v>0</v>
      </c>
      <c r="F113" s="86">
        <v>0</v>
      </c>
      <c r="G113" s="86">
        <v>0</v>
      </c>
      <c r="H113" s="86">
        <v>0</v>
      </c>
      <c r="I113" s="86">
        <f t="shared" si="50"/>
        <v>7234</v>
      </c>
      <c r="J113" s="87"/>
      <c r="K113" s="87"/>
      <c r="L113" s="81" t="s">
        <v>438</v>
      </c>
      <c r="M113" s="123">
        <v>0</v>
      </c>
      <c r="N113" s="123">
        <v>0</v>
      </c>
      <c r="O113" s="123">
        <v>0</v>
      </c>
      <c r="P113" s="123">
        <v>0</v>
      </c>
      <c r="Q113" s="123">
        <v>0</v>
      </c>
      <c r="R113" s="123">
        <v>0</v>
      </c>
      <c r="S113" s="123">
        <v>0</v>
      </c>
      <c r="T113" s="86">
        <f t="shared" si="52"/>
        <v>0</v>
      </c>
      <c r="U113" s="87"/>
      <c r="V113" s="81" t="s">
        <v>438</v>
      </c>
      <c r="W113" s="87"/>
      <c r="X113" s="86">
        <v>0</v>
      </c>
      <c r="Y113" s="87"/>
      <c r="Z113" s="86">
        <f t="shared" si="45"/>
        <v>0</v>
      </c>
      <c r="AA113" s="87"/>
      <c r="AB113" s="86">
        <f t="shared" si="51"/>
        <v>7234</v>
      </c>
      <c r="AC113" s="86"/>
      <c r="AD113" s="109"/>
      <c r="AE113" s="109"/>
      <c r="AF113" s="109"/>
      <c r="AG113" s="48"/>
    </row>
    <row r="114" spans="1:33" s="44" customFormat="1" ht="54.9" customHeight="1" x14ac:dyDescent="1.05">
      <c r="A114" s="81" t="s">
        <v>439</v>
      </c>
      <c r="B114" s="86">
        <f>CNT!N283</f>
        <v>60891.66</v>
      </c>
      <c r="C114" s="86">
        <v>0</v>
      </c>
      <c r="D114" s="86">
        <v>0</v>
      </c>
      <c r="E114" s="86">
        <v>0</v>
      </c>
      <c r="F114" s="86">
        <v>0</v>
      </c>
      <c r="G114" s="86">
        <v>0</v>
      </c>
      <c r="H114" s="86">
        <v>0</v>
      </c>
      <c r="I114" s="86">
        <f t="shared" si="50"/>
        <v>60891.66</v>
      </c>
      <c r="J114" s="87"/>
      <c r="K114" s="87"/>
      <c r="L114" s="81" t="s">
        <v>439</v>
      </c>
      <c r="M114" s="123">
        <v>0</v>
      </c>
      <c r="N114" s="123">
        <v>0</v>
      </c>
      <c r="O114" s="123">
        <v>0</v>
      </c>
      <c r="P114" s="123">
        <v>0</v>
      </c>
      <c r="Q114" s="123">
        <v>0</v>
      </c>
      <c r="R114" s="123">
        <v>0</v>
      </c>
      <c r="S114" s="123">
        <v>0</v>
      </c>
      <c r="T114" s="86">
        <f t="shared" si="52"/>
        <v>0</v>
      </c>
      <c r="U114" s="87"/>
      <c r="V114" s="81" t="s">
        <v>439</v>
      </c>
      <c r="W114" s="87"/>
      <c r="X114" s="86">
        <v>0</v>
      </c>
      <c r="Y114" s="87"/>
      <c r="Z114" s="86">
        <f t="shared" si="45"/>
        <v>0</v>
      </c>
      <c r="AA114" s="87"/>
      <c r="AB114" s="86">
        <f t="shared" si="51"/>
        <v>60891.66</v>
      </c>
      <c r="AC114" s="86"/>
      <c r="AD114" s="109"/>
      <c r="AE114" s="109"/>
      <c r="AF114" s="109"/>
      <c r="AG114" s="48"/>
    </row>
    <row r="115" spans="1:33" s="44" customFormat="1" ht="54.9" customHeight="1" x14ac:dyDescent="1.05">
      <c r="A115" s="81" t="s">
        <v>403</v>
      </c>
      <c r="B115" s="86">
        <f>CNT!N282</f>
        <v>30121.660000000003</v>
      </c>
      <c r="C115" s="86">
        <v>0</v>
      </c>
      <c r="D115" s="86">
        <v>0</v>
      </c>
      <c r="E115" s="86">
        <v>0</v>
      </c>
      <c r="F115" s="86">
        <v>0</v>
      </c>
      <c r="G115" s="86">
        <v>0</v>
      </c>
      <c r="H115" s="86">
        <v>0</v>
      </c>
      <c r="I115" s="86">
        <f t="shared" si="50"/>
        <v>30121.660000000003</v>
      </c>
      <c r="J115" s="87"/>
      <c r="K115" s="87"/>
      <c r="L115" s="81" t="s">
        <v>403</v>
      </c>
      <c r="M115" s="123">
        <v>0</v>
      </c>
      <c r="N115" s="123">
        <v>0</v>
      </c>
      <c r="O115" s="123">
        <v>0</v>
      </c>
      <c r="P115" s="123">
        <v>0</v>
      </c>
      <c r="Q115" s="123">
        <v>0</v>
      </c>
      <c r="R115" s="123">
        <v>0</v>
      </c>
      <c r="S115" s="123">
        <v>0</v>
      </c>
      <c r="T115" s="86">
        <f t="shared" si="52"/>
        <v>0</v>
      </c>
      <c r="U115" s="87"/>
      <c r="V115" s="81" t="s">
        <v>403</v>
      </c>
      <c r="W115" s="87"/>
      <c r="X115" s="86">
        <f t="shared" si="44"/>
        <v>30121.660000000003</v>
      </c>
      <c r="Y115" s="87"/>
      <c r="Z115" s="86">
        <f t="shared" si="45"/>
        <v>0</v>
      </c>
      <c r="AA115" s="87"/>
      <c r="AB115" s="86">
        <f t="shared" si="51"/>
        <v>30121.660000000003</v>
      </c>
      <c r="AC115" s="86"/>
      <c r="AD115" s="109"/>
      <c r="AE115" s="109"/>
      <c r="AF115" s="109"/>
      <c r="AG115" s="48"/>
    </row>
    <row r="116" spans="1:33" s="44" customFormat="1" ht="54.9" customHeight="1" x14ac:dyDescent="1.05">
      <c r="A116" s="81" t="s">
        <v>540</v>
      </c>
      <c r="B116" s="86">
        <v>0</v>
      </c>
      <c r="C116" s="86">
        <v>0</v>
      </c>
      <c r="D116" s="86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f t="shared" si="50"/>
        <v>0</v>
      </c>
      <c r="J116" s="87"/>
      <c r="K116" s="87"/>
      <c r="L116" s="81" t="s">
        <v>540</v>
      </c>
      <c r="M116" s="123">
        <v>-67988.36</v>
      </c>
      <c r="N116" s="123">
        <v>-11775</v>
      </c>
      <c r="O116" s="123">
        <v>-1100</v>
      </c>
      <c r="P116" s="123">
        <v>0</v>
      </c>
      <c r="Q116" s="123">
        <v>0</v>
      </c>
      <c r="R116" s="123">
        <v>0</v>
      </c>
      <c r="S116" s="123">
        <v>0</v>
      </c>
      <c r="T116" s="86">
        <f t="shared" si="52"/>
        <v>-80863.360000000001</v>
      </c>
      <c r="U116" s="87"/>
      <c r="V116" s="81" t="s">
        <v>540</v>
      </c>
      <c r="W116" s="87"/>
      <c r="X116" s="86">
        <v>0</v>
      </c>
      <c r="Y116" s="87"/>
      <c r="Z116" s="86">
        <v>0</v>
      </c>
      <c r="AA116" s="87"/>
      <c r="AB116" s="86">
        <f t="shared" si="51"/>
        <v>80863.360000000001</v>
      </c>
      <c r="AC116" s="86"/>
      <c r="AD116" s="109"/>
      <c r="AE116" s="109"/>
      <c r="AF116" s="109"/>
      <c r="AG116" s="48"/>
    </row>
    <row r="117" spans="1:33" s="44" customFormat="1" ht="54.9" customHeight="1" x14ac:dyDescent="1.05">
      <c r="A117" s="81" t="s">
        <v>449</v>
      </c>
      <c r="B117" s="86">
        <f>CNT!N284</f>
        <v>16988.28</v>
      </c>
      <c r="C117" s="86">
        <v>0</v>
      </c>
      <c r="D117" s="86">
        <v>0</v>
      </c>
      <c r="E117" s="86">
        <v>0</v>
      </c>
      <c r="F117" s="86">
        <v>0</v>
      </c>
      <c r="G117" s="86">
        <v>0</v>
      </c>
      <c r="H117" s="86">
        <v>0</v>
      </c>
      <c r="I117" s="86">
        <f t="shared" si="50"/>
        <v>16988.28</v>
      </c>
      <c r="J117" s="87"/>
      <c r="K117" s="87"/>
      <c r="L117" s="81" t="s">
        <v>449</v>
      </c>
      <c r="M117" s="123">
        <v>0</v>
      </c>
      <c r="N117" s="123">
        <v>0</v>
      </c>
      <c r="O117" s="123">
        <v>0</v>
      </c>
      <c r="P117" s="123">
        <v>0</v>
      </c>
      <c r="Q117" s="123">
        <v>0</v>
      </c>
      <c r="R117" s="123">
        <v>0</v>
      </c>
      <c r="S117" s="123">
        <v>0</v>
      </c>
      <c r="T117" s="86">
        <v>0</v>
      </c>
      <c r="U117" s="87"/>
      <c r="V117" s="81" t="s">
        <v>449</v>
      </c>
      <c r="W117" s="87"/>
      <c r="X117" s="86">
        <v>0</v>
      </c>
      <c r="Y117" s="87"/>
      <c r="Z117" s="86">
        <f t="shared" si="45"/>
        <v>0</v>
      </c>
      <c r="AA117" s="87"/>
      <c r="AB117" s="86">
        <f t="shared" si="51"/>
        <v>16988.28</v>
      </c>
      <c r="AC117" s="86"/>
      <c r="AD117" s="109"/>
      <c r="AE117" s="109"/>
      <c r="AF117" s="109"/>
      <c r="AG117" s="48"/>
    </row>
    <row r="118" spans="1:33" s="44" customFormat="1" ht="54.9" customHeight="1" x14ac:dyDescent="1.05">
      <c r="A118" s="85" t="s">
        <v>463</v>
      </c>
      <c r="B118" s="88">
        <f t="shared" ref="B118:I118" si="53">SUM(B104:B117)</f>
        <v>690805.33000000007</v>
      </c>
      <c r="C118" s="88">
        <f t="shared" si="53"/>
        <v>-44203.74</v>
      </c>
      <c r="D118" s="88">
        <f t="shared" si="53"/>
        <v>184785.49</v>
      </c>
      <c r="E118" s="88">
        <f t="shared" si="53"/>
        <v>46516.999999999993</v>
      </c>
      <c r="F118" s="88">
        <f t="shared" si="53"/>
        <v>-48906.52</v>
      </c>
      <c r="G118" s="88">
        <f t="shared" si="53"/>
        <v>305747.33</v>
      </c>
      <c r="H118" s="88">
        <f t="shared" si="53"/>
        <v>239437.5</v>
      </c>
      <c r="I118" s="88">
        <f t="shared" si="53"/>
        <v>1374182.39</v>
      </c>
      <c r="J118" s="91">
        <f>SUM(I104:I117)-I118</f>
        <v>0</v>
      </c>
      <c r="K118" s="87"/>
      <c r="L118" s="85" t="s">
        <v>463</v>
      </c>
      <c r="M118" s="124">
        <f>SUM(M104:M117)</f>
        <v>611305.22</v>
      </c>
      <c r="N118" s="124">
        <f>SUM(N104:N117)</f>
        <v>-424552.5</v>
      </c>
      <c r="O118" s="124">
        <f>SUM(O104:O116)</f>
        <v>168406.78</v>
      </c>
      <c r="P118" s="124">
        <f>SUM(P104:P117)</f>
        <v>76646.33</v>
      </c>
      <c r="Q118" s="124">
        <f>SUM(Q104:Q117)</f>
        <v>-54732.12000000001</v>
      </c>
      <c r="R118" s="124">
        <f>SUM(R104:R117)</f>
        <v>225936.52</v>
      </c>
      <c r="S118" s="124">
        <f>SUM(S104:S117)</f>
        <v>100000</v>
      </c>
      <c r="T118" s="88">
        <f>SUM(M118:S118)</f>
        <v>703010.23</v>
      </c>
      <c r="U118" s="91">
        <f>SUM(T104:T115)-T118</f>
        <v>80863.35999999987</v>
      </c>
      <c r="V118" s="85" t="s">
        <v>463</v>
      </c>
      <c r="W118" s="87"/>
      <c r="X118" s="88">
        <f t="shared" si="44"/>
        <v>1374182.39</v>
      </c>
      <c r="Y118" s="87"/>
      <c r="Z118" s="88">
        <f t="shared" si="45"/>
        <v>703010.23</v>
      </c>
      <c r="AA118" s="87"/>
      <c r="AB118" s="88">
        <f>I118-T118</f>
        <v>671172.15999999992</v>
      </c>
      <c r="AC118" s="88"/>
      <c r="AD118" s="109"/>
      <c r="AE118" s="109"/>
      <c r="AF118" s="109"/>
      <c r="AG118" s="48"/>
    </row>
    <row r="119" spans="1:33" s="44" customFormat="1" ht="54.9" customHeight="1" x14ac:dyDescent="1.05">
      <c r="A119" s="85"/>
      <c r="B119" s="86"/>
      <c r="C119" s="86"/>
      <c r="D119" s="86"/>
      <c r="E119" s="86"/>
      <c r="F119" s="86"/>
      <c r="G119" s="86"/>
      <c r="H119" s="86"/>
      <c r="I119" s="86">
        <f t="shared" si="50"/>
        <v>0</v>
      </c>
      <c r="J119" s="87"/>
      <c r="K119" s="87"/>
      <c r="L119" s="85"/>
      <c r="M119" s="123"/>
      <c r="N119" s="123"/>
      <c r="O119" s="123"/>
      <c r="P119" s="123"/>
      <c r="Q119" s="123"/>
      <c r="R119" s="123"/>
      <c r="S119" s="123"/>
      <c r="T119" s="86">
        <f t="shared" si="52"/>
        <v>0</v>
      </c>
      <c r="U119" s="87"/>
      <c r="V119" s="85"/>
      <c r="W119" s="87"/>
      <c r="X119" s="86"/>
      <c r="Y119" s="87"/>
      <c r="Z119" s="86">
        <f t="shared" si="45"/>
        <v>0</v>
      </c>
      <c r="AA119" s="87"/>
      <c r="AB119" s="86"/>
      <c r="AC119" s="86"/>
      <c r="AD119" s="109"/>
      <c r="AE119" s="109"/>
      <c r="AF119" s="109"/>
      <c r="AG119" s="48"/>
    </row>
    <row r="120" spans="1:33" s="96" customFormat="1" ht="69.900000000000006" customHeight="1" thickBot="1" x14ac:dyDescent="1.35">
      <c r="A120" s="99" t="s">
        <v>266</v>
      </c>
      <c r="B120" s="98">
        <f t="shared" ref="B120:H120" si="54">B36-B101+B118</f>
        <v>-570607.75999874063</v>
      </c>
      <c r="C120" s="98">
        <f t="shared" si="54"/>
        <v>218466.90000001562</v>
      </c>
      <c r="D120" s="98">
        <f t="shared" si="54"/>
        <v>844796.71999999951</v>
      </c>
      <c r="E120" s="98">
        <f t="shared" si="54"/>
        <v>14632.749999999993</v>
      </c>
      <c r="F120" s="98">
        <f t="shared" si="54"/>
        <v>-29868.689999999922</v>
      </c>
      <c r="G120" s="98">
        <f t="shared" si="54"/>
        <v>190769.13999999998</v>
      </c>
      <c r="H120" s="98">
        <f t="shared" si="54"/>
        <v>58578.289999999979</v>
      </c>
      <c r="I120" s="98">
        <f t="shared" si="50"/>
        <v>726767.35000127461</v>
      </c>
      <c r="L120" s="99" t="s">
        <v>266</v>
      </c>
      <c r="M120" s="126">
        <f t="shared" ref="M120:S120" si="55">M36-M101+M118</f>
        <v>-4535606.0499993898</v>
      </c>
      <c r="N120" s="126">
        <f>N36-N101+N118</f>
        <v>223598.60999998928</v>
      </c>
      <c r="O120" s="126">
        <f t="shared" si="55"/>
        <v>985578.95000000019</v>
      </c>
      <c r="P120" s="126">
        <f t="shared" si="55"/>
        <v>68753.960000000006</v>
      </c>
      <c r="Q120" s="126">
        <f t="shared" si="55"/>
        <v>-46184.219999999987</v>
      </c>
      <c r="R120" s="126">
        <f t="shared" si="55"/>
        <v>102973.49999999999</v>
      </c>
      <c r="S120" s="126">
        <f t="shared" si="55"/>
        <v>-39513.26999999999</v>
      </c>
      <c r="T120" s="98">
        <f t="shared" si="52"/>
        <v>-3240398.5199994007</v>
      </c>
      <c r="V120" s="99" t="s">
        <v>266</v>
      </c>
      <c r="X120" s="98">
        <f t="shared" si="44"/>
        <v>726767.35000127461</v>
      </c>
      <c r="Z120" s="98">
        <f t="shared" si="45"/>
        <v>-3240398.5199994007</v>
      </c>
      <c r="AB120" s="98">
        <f>I120-T120</f>
        <v>3967165.8700006753</v>
      </c>
      <c r="AC120" s="117"/>
      <c r="AD120" s="97"/>
      <c r="AE120" s="97"/>
      <c r="AF120" s="97"/>
      <c r="AG120" s="97"/>
    </row>
    <row r="121" spans="1:33" ht="72" thickTop="1" thickBot="1" x14ac:dyDescent="1.35">
      <c r="A121" s="85" t="s">
        <v>542</v>
      </c>
      <c r="B121" s="127">
        <f>B33</f>
        <v>0</v>
      </c>
      <c r="C121" s="127">
        <v>0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98">
        <f>SUM(B121:H121)</f>
        <v>0</v>
      </c>
      <c r="L121" s="85" t="s">
        <v>542</v>
      </c>
      <c r="M121" s="127">
        <f>M33</f>
        <v>3712040.52</v>
      </c>
      <c r="N121" s="127">
        <v>0</v>
      </c>
      <c r="O121" s="127">
        <v>0</v>
      </c>
      <c r="P121" s="127">
        <v>0</v>
      </c>
      <c r="Q121" s="127">
        <v>0</v>
      </c>
      <c r="R121" s="127">
        <v>0</v>
      </c>
      <c r="S121" s="127">
        <v>0</v>
      </c>
      <c r="T121" s="98">
        <f>SUM(M121:S121)</f>
        <v>3712040.52</v>
      </c>
    </row>
    <row r="122" spans="1:33" s="100" customFormat="1" ht="58.8" thickTop="1" thickBot="1" x14ac:dyDescent="1.1000000000000001">
      <c r="A122" s="85" t="s">
        <v>543</v>
      </c>
      <c r="B122" s="129">
        <f>B120+B121</f>
        <v>-570607.75999874063</v>
      </c>
      <c r="C122" s="129">
        <f t="shared" ref="C122" si="56">C120+C121</f>
        <v>218466.90000001562</v>
      </c>
      <c r="D122" s="129">
        <f t="shared" ref="D122" si="57">D120+D121</f>
        <v>844796.71999999951</v>
      </c>
      <c r="E122" s="129">
        <f t="shared" ref="E122" si="58">E120+E121</f>
        <v>14632.749999999993</v>
      </c>
      <c r="F122" s="129">
        <f t="shared" ref="F122" si="59">F120+F121</f>
        <v>-29868.689999999922</v>
      </c>
      <c r="G122" s="129">
        <f t="shared" ref="G122" si="60">G120+G121</f>
        <v>190769.13999999998</v>
      </c>
      <c r="H122" s="129">
        <f t="shared" ref="H122" si="61">H120+H121</f>
        <v>58578.289999999979</v>
      </c>
      <c r="I122" s="129">
        <f>I120+I121</f>
        <v>726767.35000127461</v>
      </c>
      <c r="J122" s="107"/>
      <c r="K122" s="107"/>
      <c r="L122" s="85" t="s">
        <v>543</v>
      </c>
      <c r="M122" s="129">
        <f>M120+M121</f>
        <v>-823565.52999938978</v>
      </c>
      <c r="N122" s="129">
        <f t="shared" ref="N122:S122" si="62">N120+N121</f>
        <v>223598.60999998928</v>
      </c>
      <c r="O122" s="129">
        <f t="shared" si="62"/>
        <v>985578.95000000019</v>
      </c>
      <c r="P122" s="129">
        <f t="shared" si="62"/>
        <v>68753.960000000006</v>
      </c>
      <c r="Q122" s="129">
        <f t="shared" si="62"/>
        <v>-46184.219999999987</v>
      </c>
      <c r="R122" s="129">
        <f t="shared" si="62"/>
        <v>102973.49999999999</v>
      </c>
      <c r="S122" s="129">
        <f t="shared" si="62"/>
        <v>-39513.26999999999</v>
      </c>
      <c r="T122" s="129">
        <f>T120+T121</f>
        <v>471642.00000059931</v>
      </c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4"/>
      <c r="AE122" s="107"/>
      <c r="AF122" s="104"/>
    </row>
    <row r="123" spans="1:33" s="100" customFormat="1" ht="58.2" thickTop="1" x14ac:dyDescent="1.05">
      <c r="A123" s="107"/>
      <c r="B123" s="127"/>
      <c r="C123" s="128"/>
      <c r="D123" s="128"/>
      <c r="E123" s="128"/>
      <c r="F123" s="128"/>
      <c r="G123" s="128"/>
      <c r="H123" s="128"/>
      <c r="I123" s="107"/>
      <c r="J123" s="107"/>
      <c r="K123" s="107"/>
      <c r="L123" s="107"/>
      <c r="M123" s="127"/>
      <c r="N123" s="128"/>
      <c r="O123" s="128"/>
      <c r="P123" s="128"/>
      <c r="Q123" s="128"/>
      <c r="R123" s="128"/>
      <c r="S123" s="128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4"/>
      <c r="AE123" s="107"/>
      <c r="AF123" s="104"/>
    </row>
    <row r="124" spans="1:33" s="44" customFormat="1" ht="54.9" hidden="1" customHeight="1" x14ac:dyDescent="1.05">
      <c r="A124" s="85" t="s">
        <v>509</v>
      </c>
      <c r="B124" s="86"/>
      <c r="C124" s="86"/>
      <c r="D124" s="86"/>
      <c r="E124" s="86"/>
      <c r="F124" s="86"/>
      <c r="G124" s="86"/>
      <c r="H124" s="86"/>
      <c r="I124" s="86"/>
      <c r="J124" s="87"/>
      <c r="K124" s="87"/>
      <c r="L124" s="81"/>
      <c r="M124" s="123"/>
      <c r="N124" s="123"/>
      <c r="O124" s="123"/>
      <c r="P124" s="123"/>
      <c r="Q124" s="123"/>
      <c r="R124" s="123" t="s">
        <v>510</v>
      </c>
      <c r="S124" s="123"/>
      <c r="T124" s="86"/>
      <c r="U124" s="87"/>
      <c r="V124" s="81"/>
      <c r="W124" s="87"/>
      <c r="X124" s="86"/>
      <c r="Y124" s="87"/>
      <c r="Z124" s="86"/>
      <c r="AA124" s="87"/>
      <c r="AB124" s="86"/>
      <c r="AC124" s="86"/>
      <c r="AD124" s="109"/>
      <c r="AE124" s="109"/>
      <c r="AF124" s="109"/>
      <c r="AG124" s="48"/>
    </row>
    <row r="125" spans="1:33" s="44" customFormat="1" ht="54.9" hidden="1" customHeight="1" x14ac:dyDescent="1.05">
      <c r="A125" s="81" t="s">
        <v>511</v>
      </c>
      <c r="B125" s="86">
        <f>-54614.42-50474.14</f>
        <v>-105088.56</v>
      </c>
      <c r="C125" s="86">
        <v>50474.14</v>
      </c>
      <c r="D125" s="86">
        <v>54614.42</v>
      </c>
      <c r="E125" s="86">
        <v>0</v>
      </c>
      <c r="F125" s="86">
        <v>0</v>
      </c>
      <c r="G125" s="86">
        <v>0</v>
      </c>
      <c r="H125" s="86">
        <v>0</v>
      </c>
      <c r="I125" s="86">
        <f t="shared" ref="I125:I136" si="63">SUM(B125:H125)</f>
        <v>0</v>
      </c>
      <c r="J125" s="87"/>
      <c r="K125" s="87"/>
      <c r="L125" s="81"/>
      <c r="M125" s="123"/>
      <c r="N125" s="123"/>
      <c r="O125" s="123"/>
      <c r="P125" s="123"/>
      <c r="Q125" s="123"/>
      <c r="R125" s="123" t="s">
        <v>512</v>
      </c>
      <c r="S125" s="123"/>
      <c r="T125" s="86"/>
      <c r="U125" s="87"/>
      <c r="V125" s="81"/>
      <c r="W125" s="87"/>
      <c r="X125" s="86"/>
      <c r="Y125" s="87"/>
      <c r="Z125" s="86"/>
      <c r="AA125" s="87"/>
      <c r="AB125" s="86"/>
      <c r="AC125" s="86"/>
      <c r="AD125" s="109"/>
      <c r="AE125" s="109"/>
      <c r="AF125" s="109"/>
      <c r="AG125" s="48"/>
    </row>
    <row r="126" spans="1:33" s="44" customFormat="1" ht="54.9" hidden="1" customHeight="1" x14ac:dyDescent="1.05">
      <c r="A126" s="81" t="s">
        <v>513</v>
      </c>
      <c r="B126" s="86">
        <f>-2995.24-3272.2</f>
        <v>-6267.44</v>
      </c>
      <c r="C126" s="86">
        <v>3272.2</v>
      </c>
      <c r="D126" s="86">
        <v>2995.24</v>
      </c>
      <c r="E126" s="86">
        <v>0</v>
      </c>
      <c r="F126" s="86">
        <v>0</v>
      </c>
      <c r="G126" s="86">
        <v>0</v>
      </c>
      <c r="H126" s="86">
        <v>0</v>
      </c>
      <c r="I126" s="86">
        <f t="shared" si="63"/>
        <v>0</v>
      </c>
      <c r="J126" s="87"/>
      <c r="K126" s="87"/>
      <c r="L126" s="81"/>
      <c r="M126" s="123"/>
      <c r="N126" s="123"/>
      <c r="O126" s="123"/>
      <c r="P126" s="123"/>
      <c r="Q126" s="123"/>
      <c r="R126" s="123">
        <v>11000</v>
      </c>
      <c r="S126" s="123"/>
      <c r="T126" s="86"/>
      <c r="U126" s="87"/>
      <c r="V126" s="81"/>
      <c r="W126" s="87"/>
      <c r="X126" s="86"/>
      <c r="Y126" s="87"/>
      <c r="Z126" s="86"/>
      <c r="AA126" s="87"/>
      <c r="AB126" s="86"/>
      <c r="AC126" s="86"/>
      <c r="AD126" s="109"/>
      <c r="AE126" s="109"/>
      <c r="AF126" s="109"/>
      <c r="AG126" s="48"/>
    </row>
    <row r="127" spans="1:33" s="44" customFormat="1" ht="54.9" hidden="1" customHeight="1" x14ac:dyDescent="1.05">
      <c r="A127" s="81" t="s">
        <v>514</v>
      </c>
      <c r="B127" s="86">
        <f>-5532.16-3179.07</f>
        <v>-8711.23</v>
      </c>
      <c r="C127" s="86">
        <v>3179.07</v>
      </c>
      <c r="D127" s="86">
        <v>5532.16</v>
      </c>
      <c r="E127" s="86">
        <v>0</v>
      </c>
      <c r="F127" s="86">
        <v>0</v>
      </c>
      <c r="G127" s="86">
        <v>0</v>
      </c>
      <c r="H127" s="86">
        <v>0</v>
      </c>
      <c r="I127" s="86">
        <f t="shared" si="63"/>
        <v>0</v>
      </c>
      <c r="J127" s="87"/>
      <c r="K127" s="87"/>
      <c r="L127" s="81"/>
      <c r="M127" s="123"/>
      <c r="N127" s="123"/>
      <c r="O127" s="123"/>
      <c r="P127" s="123"/>
      <c r="Q127" s="123"/>
      <c r="R127" s="123" t="s">
        <v>515</v>
      </c>
      <c r="S127" s="123"/>
      <c r="T127" s="86"/>
      <c r="U127" s="87"/>
      <c r="V127" s="81"/>
      <c r="W127" s="87"/>
      <c r="X127" s="86"/>
      <c r="Y127" s="87"/>
      <c r="Z127" s="86"/>
      <c r="AA127" s="87"/>
      <c r="AB127" s="86"/>
      <c r="AC127" s="86"/>
      <c r="AD127" s="109"/>
      <c r="AE127" s="109"/>
      <c r="AF127" s="109"/>
      <c r="AG127" s="48"/>
    </row>
    <row r="128" spans="1:33" s="44" customFormat="1" ht="54.9" hidden="1" customHeight="1" x14ac:dyDescent="1.05">
      <c r="A128" s="81" t="s">
        <v>516</v>
      </c>
      <c r="B128" s="86">
        <f>-776.68-776.63</f>
        <v>-1553.31</v>
      </c>
      <c r="C128" s="86">
        <v>776.63</v>
      </c>
      <c r="D128" s="86">
        <v>776.68</v>
      </c>
      <c r="E128" s="86">
        <v>0</v>
      </c>
      <c r="F128" s="86">
        <v>0</v>
      </c>
      <c r="G128" s="86">
        <v>0</v>
      </c>
      <c r="H128" s="86">
        <v>0</v>
      </c>
      <c r="I128" s="86">
        <f t="shared" ref="I128" si="64">SUM(B128:H128)</f>
        <v>0</v>
      </c>
      <c r="J128" s="87"/>
      <c r="K128" s="87"/>
      <c r="L128" s="81"/>
      <c r="M128" s="123"/>
      <c r="N128" s="123"/>
      <c r="O128" s="123"/>
      <c r="P128" s="123"/>
      <c r="Q128" s="123"/>
      <c r="R128" s="123" t="s">
        <v>515</v>
      </c>
      <c r="S128" s="123"/>
      <c r="T128" s="86"/>
      <c r="U128" s="87"/>
      <c r="V128" s="81"/>
      <c r="W128" s="87"/>
      <c r="X128" s="86"/>
      <c r="Y128" s="87"/>
      <c r="Z128" s="86"/>
      <c r="AA128" s="87"/>
      <c r="AB128" s="86"/>
      <c r="AC128" s="86"/>
      <c r="AD128" s="109"/>
      <c r="AE128" s="109"/>
      <c r="AF128" s="109"/>
      <c r="AG128" s="48"/>
    </row>
    <row r="129" spans="1:33" s="44" customFormat="1" ht="54.9" hidden="1" customHeight="1" x14ac:dyDescent="1.05">
      <c r="A129" s="81" t="s">
        <v>517</v>
      </c>
      <c r="B129" s="86">
        <f>-1631.57-1469.63</f>
        <v>-3101.2</v>
      </c>
      <c r="C129" s="86">
        <v>1469.63</v>
      </c>
      <c r="D129" s="86">
        <v>1631.57</v>
      </c>
      <c r="E129" s="86">
        <v>0</v>
      </c>
      <c r="F129" s="86">
        <v>0</v>
      </c>
      <c r="G129" s="86">
        <v>0</v>
      </c>
      <c r="H129" s="86">
        <v>0</v>
      </c>
      <c r="I129" s="86">
        <f t="shared" si="63"/>
        <v>2.2737367544323206E-13</v>
      </c>
      <c r="J129" s="87"/>
      <c r="K129" s="87"/>
      <c r="L129" s="81"/>
      <c r="M129" s="123"/>
      <c r="N129" s="123"/>
      <c r="O129" s="123"/>
      <c r="P129" s="123"/>
      <c r="Q129" s="123"/>
      <c r="R129" s="123"/>
      <c r="S129" s="123"/>
      <c r="T129" s="86"/>
      <c r="U129" s="87"/>
      <c r="V129" s="81"/>
      <c r="W129" s="87"/>
      <c r="X129" s="86"/>
      <c r="Y129" s="87"/>
      <c r="Z129" s="86"/>
      <c r="AA129" s="87"/>
      <c r="AB129" s="86"/>
      <c r="AC129" s="86"/>
      <c r="AD129" s="109"/>
      <c r="AE129" s="109"/>
      <c r="AF129" s="109"/>
      <c r="AG129" s="48"/>
    </row>
    <row r="130" spans="1:33" s="44" customFormat="1" ht="54.9" hidden="1" customHeight="1" x14ac:dyDescent="1.05">
      <c r="A130" s="81" t="s">
        <v>518</v>
      </c>
      <c r="B130" s="86">
        <f>-500+-1250</f>
        <v>-1750</v>
      </c>
      <c r="C130" s="86">
        <v>500</v>
      </c>
      <c r="D130" s="86">
        <v>1250</v>
      </c>
      <c r="E130" s="86">
        <v>0</v>
      </c>
      <c r="F130" s="86">
        <v>0</v>
      </c>
      <c r="G130" s="86">
        <v>0</v>
      </c>
      <c r="H130" s="86">
        <v>0</v>
      </c>
      <c r="I130" s="86">
        <f t="shared" si="63"/>
        <v>0</v>
      </c>
      <c r="J130" s="104"/>
      <c r="K130" s="87"/>
      <c r="L130" s="81"/>
      <c r="M130" s="123"/>
      <c r="N130" s="123"/>
      <c r="O130" s="123"/>
      <c r="P130" s="123"/>
      <c r="Q130" s="123"/>
      <c r="R130" s="123"/>
      <c r="S130" s="123"/>
      <c r="T130" s="86"/>
      <c r="U130" s="87"/>
      <c r="V130" s="81"/>
      <c r="W130" s="87"/>
      <c r="X130" s="86"/>
      <c r="Y130" s="87"/>
      <c r="Z130" s="86"/>
      <c r="AA130" s="87"/>
      <c r="AB130" s="86"/>
      <c r="AC130" s="86"/>
      <c r="AD130" s="109"/>
      <c r="AE130" s="109"/>
      <c r="AF130" s="109"/>
      <c r="AG130" s="48"/>
    </row>
    <row r="131" spans="1:33" s="44" customFormat="1" ht="54.9" hidden="1" customHeight="1" x14ac:dyDescent="1.05">
      <c r="A131" s="81" t="s">
        <v>519</v>
      </c>
      <c r="B131" s="86">
        <f>-10402.9*0.15</f>
        <v>-1560.4349999999999</v>
      </c>
      <c r="C131" s="86">
        <f>10402.9*0.15</f>
        <v>1560.4349999999999</v>
      </c>
      <c r="D131" s="86">
        <v>0</v>
      </c>
      <c r="E131" s="86">
        <v>0</v>
      </c>
      <c r="F131" s="86">
        <v>0</v>
      </c>
      <c r="G131" s="86">
        <v>0</v>
      </c>
      <c r="H131" s="86">
        <v>0</v>
      </c>
      <c r="I131" s="86">
        <f t="shared" si="63"/>
        <v>0</v>
      </c>
      <c r="J131" s="105">
        <f>[1]CNT!K250</f>
        <v>1991.67</v>
      </c>
      <c r="K131" s="87"/>
      <c r="L131" s="81"/>
      <c r="M131" s="123"/>
      <c r="N131" s="123"/>
      <c r="O131" s="123"/>
      <c r="P131" s="123"/>
      <c r="Q131" s="123"/>
      <c r="R131" s="123"/>
      <c r="S131" s="123"/>
      <c r="T131" s="86"/>
      <c r="U131" s="87"/>
      <c r="V131" s="81"/>
      <c r="W131" s="87"/>
      <c r="X131" s="86"/>
      <c r="Y131" s="87"/>
      <c r="Z131" s="86"/>
      <c r="AA131" s="87"/>
      <c r="AB131" s="86"/>
      <c r="AC131" s="86"/>
      <c r="AD131" s="109"/>
      <c r="AE131" s="109"/>
      <c r="AF131" s="109"/>
      <c r="AG131" s="48"/>
    </row>
    <row r="132" spans="1:33" s="44" customFormat="1" ht="54.9" hidden="1" customHeight="1" x14ac:dyDescent="1.05">
      <c r="A132" s="81" t="s">
        <v>520</v>
      </c>
      <c r="B132" s="86">
        <f>-4404.67*0.1</f>
        <v>-440.46700000000004</v>
      </c>
      <c r="C132" s="86">
        <f>4404.67*0.1</f>
        <v>440.46700000000004</v>
      </c>
      <c r="D132" s="86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f t="shared" si="63"/>
        <v>0</v>
      </c>
      <c r="J132" s="105">
        <f>[1]CNT!K224</f>
        <v>1547.72</v>
      </c>
      <c r="K132" s="87"/>
      <c r="L132" s="81"/>
      <c r="M132" s="123"/>
      <c r="N132" s="123"/>
      <c r="O132" s="123"/>
      <c r="P132" s="123"/>
      <c r="Q132" s="123"/>
      <c r="R132" s="123"/>
      <c r="S132" s="123"/>
      <c r="T132" s="86"/>
      <c r="U132" s="87"/>
      <c r="V132" s="81"/>
      <c r="W132" s="87"/>
      <c r="X132" s="86"/>
      <c r="Y132" s="87"/>
      <c r="Z132" s="86"/>
      <c r="AA132" s="87"/>
      <c r="AB132" s="86"/>
      <c r="AC132" s="86"/>
      <c r="AD132" s="109"/>
      <c r="AE132" s="109"/>
      <c r="AF132" s="109"/>
      <c r="AG132" s="48"/>
    </row>
    <row r="133" spans="1:33" s="44" customFormat="1" ht="54.9" hidden="1" customHeight="1" x14ac:dyDescent="1.05">
      <c r="A133" s="81" t="s">
        <v>521</v>
      </c>
      <c r="B133" s="86">
        <f>-1351.56*0.15</f>
        <v>-202.73399999999998</v>
      </c>
      <c r="C133" s="86">
        <f>1351.56*0.15</f>
        <v>202.73399999999998</v>
      </c>
      <c r="D133" s="86">
        <v>0</v>
      </c>
      <c r="E133" s="86">
        <v>0</v>
      </c>
      <c r="F133" s="86">
        <v>0</v>
      </c>
      <c r="G133" s="86">
        <v>0</v>
      </c>
      <c r="H133" s="86">
        <v>0</v>
      </c>
      <c r="I133" s="86">
        <f t="shared" si="63"/>
        <v>0</v>
      </c>
      <c r="J133" s="105">
        <f>[1]CNT!K246</f>
        <v>1749.68</v>
      </c>
      <c r="K133" s="87"/>
      <c r="L133" s="81"/>
      <c r="M133" s="123"/>
      <c r="N133" s="123"/>
      <c r="O133" s="123"/>
      <c r="P133" s="123"/>
      <c r="Q133" s="123"/>
      <c r="R133" s="123"/>
      <c r="S133" s="123"/>
      <c r="T133" s="86"/>
      <c r="U133" s="87"/>
      <c r="V133" s="81"/>
      <c r="W133" s="87"/>
      <c r="X133" s="86"/>
      <c r="Y133" s="87"/>
      <c r="Z133" s="86"/>
      <c r="AA133" s="87"/>
      <c r="AB133" s="86"/>
      <c r="AC133" s="86"/>
      <c r="AD133" s="109"/>
      <c r="AE133" s="109"/>
      <c r="AF133" s="109"/>
      <c r="AG133" s="48"/>
    </row>
    <row r="134" spans="1:33" s="44" customFormat="1" ht="54.9" hidden="1" customHeight="1" x14ac:dyDescent="1.05">
      <c r="A134" s="81" t="s">
        <v>522</v>
      </c>
      <c r="B134" s="86">
        <f>-11873.59*0.2</f>
        <v>-2374.7180000000003</v>
      </c>
      <c r="C134" s="86">
        <f>11873.59*0.1</f>
        <v>1187.3590000000002</v>
      </c>
      <c r="D134" s="86">
        <f>11873.59*0.1</f>
        <v>1187.3590000000002</v>
      </c>
      <c r="E134" s="86">
        <v>0</v>
      </c>
      <c r="F134" s="86">
        <v>0</v>
      </c>
      <c r="G134" s="86">
        <v>0</v>
      </c>
      <c r="H134" s="86">
        <v>0</v>
      </c>
      <c r="I134" s="86">
        <f t="shared" si="63"/>
        <v>0</v>
      </c>
      <c r="J134" s="105">
        <f>[1]CNT!K257</f>
        <v>7500</v>
      </c>
      <c r="K134" s="87"/>
      <c r="L134" s="81"/>
      <c r="M134" s="123"/>
      <c r="N134" s="123"/>
      <c r="O134" s="123"/>
      <c r="P134" s="123"/>
      <c r="Q134" s="123"/>
      <c r="R134" s="123"/>
      <c r="S134" s="123"/>
      <c r="T134" s="86"/>
      <c r="U134" s="87"/>
      <c r="V134" s="81"/>
      <c r="W134" s="87"/>
      <c r="X134" s="86"/>
      <c r="Y134" s="87"/>
      <c r="Z134" s="86"/>
      <c r="AA134" s="87"/>
      <c r="AB134" s="86"/>
      <c r="AC134" s="86"/>
      <c r="AD134" s="109"/>
      <c r="AE134" s="109"/>
      <c r="AF134" s="109"/>
      <c r="AG134" s="48"/>
    </row>
    <row r="135" spans="1:33" s="44" customFormat="1" ht="54.9" hidden="1" customHeight="1" x14ac:dyDescent="1.05">
      <c r="A135" s="81" t="s">
        <v>523</v>
      </c>
      <c r="B135" s="86">
        <f>-652.5*0.35</f>
        <v>-228.37499999999997</v>
      </c>
      <c r="C135" s="86">
        <f>652.5*0.1</f>
        <v>65.25</v>
      </c>
      <c r="D135" s="86">
        <f>652.5*0.25</f>
        <v>163.125</v>
      </c>
      <c r="E135" s="86">
        <v>0</v>
      </c>
      <c r="F135" s="86">
        <v>0</v>
      </c>
      <c r="G135" s="86">
        <v>0</v>
      </c>
      <c r="H135" s="86">
        <v>0</v>
      </c>
      <c r="I135" s="86">
        <f t="shared" si="63"/>
        <v>2.8421709430404007E-14</v>
      </c>
      <c r="J135" s="105">
        <f>[1]CNT!K260</f>
        <v>0</v>
      </c>
      <c r="K135" s="87"/>
      <c r="L135" s="81"/>
      <c r="M135" s="123"/>
      <c r="N135" s="123"/>
      <c r="O135" s="123"/>
      <c r="P135" s="123"/>
      <c r="Q135" s="123"/>
      <c r="R135" s="123"/>
      <c r="S135" s="123"/>
      <c r="T135" s="86"/>
      <c r="U135" s="87"/>
      <c r="V135" s="81"/>
      <c r="W135" s="87"/>
      <c r="X135" s="86"/>
      <c r="Y135" s="87"/>
      <c r="Z135" s="86"/>
      <c r="AA135" s="87"/>
      <c r="AB135" s="86"/>
      <c r="AC135" s="86"/>
      <c r="AD135" s="109"/>
      <c r="AE135" s="109"/>
      <c r="AF135" s="109"/>
      <c r="AG135" s="48"/>
    </row>
    <row r="136" spans="1:33" s="44" customFormat="1" ht="54.9" hidden="1" customHeight="1" x14ac:dyDescent="1.05">
      <c r="A136" s="81" t="s">
        <v>524</v>
      </c>
      <c r="B136" s="86">
        <v>-11370.73</v>
      </c>
      <c r="C136" s="86">
        <v>0</v>
      </c>
      <c r="D136" s="86">
        <v>11370.73</v>
      </c>
      <c r="E136" s="86">
        <v>0</v>
      </c>
      <c r="F136" s="86">
        <v>0</v>
      </c>
      <c r="G136" s="86">
        <v>0</v>
      </c>
      <c r="H136" s="86">
        <v>0</v>
      </c>
      <c r="I136" s="86">
        <f t="shared" si="63"/>
        <v>0</v>
      </c>
      <c r="J136" s="105" t="s">
        <v>525</v>
      </c>
      <c r="K136" s="87"/>
      <c r="L136" s="81"/>
      <c r="M136" s="123"/>
      <c r="N136" s="123"/>
      <c r="O136" s="123"/>
      <c r="P136" s="123"/>
      <c r="Q136" s="123"/>
      <c r="R136" s="123"/>
      <c r="S136" s="123"/>
      <c r="T136" s="86"/>
      <c r="U136" s="87"/>
      <c r="V136" s="81"/>
      <c r="W136" s="87"/>
      <c r="X136" s="86"/>
      <c r="Y136" s="87"/>
      <c r="Z136" s="86"/>
      <c r="AA136" s="87"/>
      <c r="AB136" s="86"/>
      <c r="AC136" s="86"/>
      <c r="AD136" s="109"/>
      <c r="AE136" s="109"/>
      <c r="AF136" s="109"/>
      <c r="AG136" s="48"/>
    </row>
    <row r="137" spans="1:33" s="44" customFormat="1" ht="54.9" hidden="1" customHeight="1" x14ac:dyDescent="1.05">
      <c r="A137" s="85" t="s">
        <v>526</v>
      </c>
      <c r="B137" s="88">
        <f t="shared" ref="B137:I137" si="65">SUM(B125:B136)</f>
        <v>-142649.19899999999</v>
      </c>
      <c r="C137" s="88">
        <f t="shared" si="65"/>
        <v>63127.914999999979</v>
      </c>
      <c r="D137" s="88">
        <f t="shared" si="65"/>
        <v>79521.283999999985</v>
      </c>
      <c r="E137" s="86">
        <f t="shared" si="65"/>
        <v>0</v>
      </c>
      <c r="F137" s="86">
        <f t="shared" si="65"/>
        <v>0</v>
      </c>
      <c r="G137" s="86">
        <f t="shared" si="65"/>
        <v>0</v>
      </c>
      <c r="H137" s="86">
        <f t="shared" si="65"/>
        <v>0</v>
      </c>
      <c r="I137" s="86">
        <f t="shared" si="65"/>
        <v>2.5579538487363607E-13</v>
      </c>
      <c r="J137" s="87"/>
      <c r="K137" s="87"/>
      <c r="L137" s="81"/>
      <c r="M137" s="123"/>
      <c r="N137" s="123"/>
      <c r="O137" s="123"/>
      <c r="P137" s="123"/>
      <c r="Q137" s="123"/>
      <c r="R137" s="123"/>
      <c r="S137" s="123"/>
      <c r="T137" s="86"/>
      <c r="U137" s="87"/>
      <c r="V137" s="81"/>
      <c r="W137" s="87"/>
      <c r="X137" s="86"/>
      <c r="Y137" s="87"/>
      <c r="Z137" s="86"/>
      <c r="AA137" s="87"/>
      <c r="AB137" s="86"/>
      <c r="AC137" s="86"/>
      <c r="AD137" s="109"/>
      <c r="AE137" s="109"/>
      <c r="AF137" s="109"/>
      <c r="AG137" s="48"/>
    </row>
    <row r="138" spans="1:33" s="44" customFormat="1" ht="54.9" hidden="1" customHeight="1" x14ac:dyDescent="1.05">
      <c r="A138" s="81"/>
      <c r="B138" s="86"/>
      <c r="C138" s="86"/>
      <c r="D138" s="86"/>
      <c r="E138" s="86"/>
      <c r="F138" s="86"/>
      <c r="G138" s="86"/>
      <c r="H138" s="86"/>
      <c r="I138" s="86"/>
      <c r="J138" s="87"/>
      <c r="K138" s="87"/>
      <c r="L138" s="81"/>
      <c r="M138" s="123"/>
      <c r="N138" s="123"/>
      <c r="O138" s="123"/>
      <c r="P138" s="123"/>
      <c r="Q138" s="123"/>
      <c r="R138" s="123"/>
      <c r="S138" s="123"/>
      <c r="T138" s="86"/>
      <c r="U138" s="87"/>
      <c r="V138" s="81"/>
      <c r="W138" s="87"/>
      <c r="X138" s="86"/>
      <c r="Y138" s="87"/>
      <c r="Z138" s="86"/>
      <c r="AA138" s="87"/>
      <c r="AB138" s="86"/>
      <c r="AC138" s="86"/>
      <c r="AD138" s="109"/>
      <c r="AE138" s="109"/>
      <c r="AF138" s="109"/>
      <c r="AG138" s="48"/>
    </row>
    <row r="139" spans="1:33" s="44" customFormat="1" ht="54.9" hidden="1" customHeight="1" x14ac:dyDescent="1.05">
      <c r="A139" s="85" t="s">
        <v>527</v>
      </c>
      <c r="B139" s="86"/>
      <c r="C139" s="86"/>
      <c r="D139" s="86"/>
      <c r="E139" s="86"/>
      <c r="F139" s="86"/>
      <c r="G139" s="86"/>
      <c r="H139" s="86"/>
      <c r="I139" s="86"/>
      <c r="J139" s="87"/>
      <c r="K139" s="87"/>
      <c r="L139" s="81"/>
      <c r="M139" s="123"/>
      <c r="N139" s="123"/>
      <c r="O139" s="123"/>
      <c r="P139" s="123"/>
      <c r="Q139" s="123"/>
      <c r="R139" s="123"/>
      <c r="S139" s="123"/>
      <c r="T139" s="86"/>
      <c r="U139" s="87"/>
      <c r="V139" s="81"/>
      <c r="W139" s="87"/>
      <c r="X139" s="86"/>
      <c r="Y139" s="87"/>
      <c r="Z139" s="86"/>
      <c r="AA139" s="87"/>
      <c r="AB139" s="86"/>
      <c r="AC139" s="86"/>
      <c r="AD139" s="109"/>
      <c r="AE139" s="109"/>
      <c r="AF139" s="109"/>
      <c r="AG139" s="48"/>
    </row>
    <row r="140" spans="1:33" s="44" customFormat="1" ht="54.9" hidden="1" customHeight="1" x14ac:dyDescent="1.05">
      <c r="A140" s="81" t="s">
        <v>528</v>
      </c>
      <c r="B140" s="86">
        <f>-25495.05-26333.26</f>
        <v>-51828.31</v>
      </c>
      <c r="C140" s="86">
        <v>26333.26</v>
      </c>
      <c r="D140" s="86">
        <v>25495.05</v>
      </c>
      <c r="E140" s="86"/>
      <c r="F140" s="86"/>
      <c r="G140" s="86"/>
      <c r="H140" s="86"/>
      <c r="I140" s="86"/>
      <c r="J140" s="87"/>
      <c r="K140" s="87"/>
      <c r="L140" s="81"/>
      <c r="M140" s="123"/>
      <c r="N140" s="123"/>
      <c r="O140" s="123"/>
      <c r="P140" s="123"/>
      <c r="Q140" s="123"/>
      <c r="R140" s="123"/>
      <c r="S140" s="123"/>
      <c r="T140" s="86"/>
      <c r="U140" s="87"/>
      <c r="V140" s="81"/>
      <c r="W140" s="87"/>
      <c r="X140" s="86"/>
      <c r="Y140" s="87"/>
      <c r="Z140" s="86"/>
      <c r="AA140" s="87"/>
      <c r="AB140" s="86"/>
      <c r="AC140" s="86"/>
      <c r="AD140" s="109"/>
      <c r="AE140" s="109"/>
      <c r="AF140" s="109"/>
      <c r="AG140" s="48"/>
    </row>
    <row r="141" spans="1:33" s="44" customFormat="1" ht="54.9" hidden="1" customHeight="1" x14ac:dyDescent="1.05">
      <c r="A141" s="81" t="s">
        <v>529</v>
      </c>
      <c r="B141" s="86">
        <f>-1490.06-1702.61</f>
        <v>-3192.67</v>
      </c>
      <c r="C141" s="86">
        <v>1702.61</v>
      </c>
      <c r="D141" s="86">
        <v>1490.06</v>
      </c>
      <c r="E141" s="86"/>
      <c r="F141" s="86"/>
      <c r="G141" s="86"/>
      <c r="H141" s="86"/>
      <c r="I141" s="86"/>
      <c r="J141" s="87"/>
      <c r="K141" s="87"/>
      <c r="L141" s="81"/>
      <c r="M141" s="123"/>
      <c r="N141" s="123"/>
      <c r="O141" s="123"/>
      <c r="P141" s="123"/>
      <c r="Q141" s="123"/>
      <c r="R141" s="123"/>
      <c r="S141" s="123"/>
      <c r="T141" s="86"/>
      <c r="U141" s="87"/>
      <c r="V141" s="81"/>
      <c r="W141" s="87"/>
      <c r="X141" s="86"/>
      <c r="Y141" s="87"/>
      <c r="Z141" s="86"/>
      <c r="AA141" s="87"/>
      <c r="AB141" s="86"/>
      <c r="AC141" s="86"/>
      <c r="AD141" s="109"/>
      <c r="AE141" s="109"/>
      <c r="AF141" s="109"/>
      <c r="AG141" s="48"/>
    </row>
    <row r="142" spans="1:33" s="44" customFormat="1" ht="54.9" hidden="1" customHeight="1" x14ac:dyDescent="1.05">
      <c r="A142" s="85" t="s">
        <v>530</v>
      </c>
      <c r="B142" s="88">
        <f>SUM(B140:B141)</f>
        <v>-55020.979999999996</v>
      </c>
      <c r="C142" s="88">
        <f t="shared" ref="C142:D142" si="66">SUM(C140:C141)</f>
        <v>28035.87</v>
      </c>
      <c r="D142" s="88">
        <f t="shared" si="66"/>
        <v>26985.11</v>
      </c>
      <c r="E142" s="86"/>
      <c r="F142" s="86"/>
      <c r="G142" s="86"/>
      <c r="H142" s="86"/>
      <c r="I142" s="86"/>
      <c r="J142" s="87"/>
      <c r="K142" s="87"/>
      <c r="L142" s="81"/>
      <c r="M142" s="123"/>
      <c r="N142" s="123"/>
      <c r="O142" s="123"/>
      <c r="P142" s="123"/>
      <c r="Q142" s="123"/>
      <c r="R142" s="123"/>
      <c r="S142" s="123"/>
      <c r="T142" s="86"/>
      <c r="U142" s="87"/>
      <c r="V142" s="81"/>
      <c r="W142" s="87"/>
      <c r="X142" s="86"/>
      <c r="Y142" s="87"/>
      <c r="Z142" s="86"/>
      <c r="AA142" s="87"/>
      <c r="AB142" s="86"/>
      <c r="AC142" s="86"/>
      <c r="AD142" s="109"/>
      <c r="AE142" s="109"/>
      <c r="AF142" s="109"/>
      <c r="AG142" s="48"/>
    </row>
    <row r="143" spans="1:33" s="44" customFormat="1" ht="54.9" hidden="1" customHeight="1" x14ac:dyDescent="1.05">
      <c r="A143" s="81"/>
      <c r="B143" s="86"/>
      <c r="C143" s="86"/>
      <c r="D143" s="86"/>
      <c r="E143" s="86"/>
      <c r="F143" s="86"/>
      <c r="G143" s="86"/>
      <c r="H143" s="86"/>
      <c r="I143" s="86">
        <f>SUM(B143:H143)</f>
        <v>0</v>
      </c>
      <c r="J143" s="87"/>
      <c r="K143" s="87"/>
      <c r="L143" s="81"/>
      <c r="M143" s="123"/>
      <c r="N143" s="123"/>
      <c r="O143" s="123"/>
      <c r="P143" s="123"/>
      <c r="Q143" s="123"/>
      <c r="R143" s="123"/>
      <c r="S143" s="123"/>
      <c r="T143" s="86"/>
      <c r="U143" s="87"/>
      <c r="V143" s="81"/>
      <c r="W143" s="87"/>
      <c r="X143" s="86"/>
      <c r="Y143" s="87"/>
      <c r="Z143" s="86"/>
      <c r="AA143" s="87"/>
      <c r="AB143" s="86"/>
      <c r="AC143" s="86"/>
      <c r="AD143" s="109"/>
      <c r="AE143" s="109"/>
      <c r="AF143" s="109"/>
      <c r="AG143" s="48"/>
    </row>
    <row r="144" spans="1:33" s="44" customFormat="1" ht="54.9" hidden="1" customHeight="1" x14ac:dyDescent="1.05">
      <c r="A144" s="81"/>
      <c r="B144" s="86"/>
      <c r="C144" s="86"/>
      <c r="D144" s="86"/>
      <c r="E144" s="86"/>
      <c r="F144" s="86"/>
      <c r="G144" s="86"/>
      <c r="H144" s="86"/>
      <c r="I144" s="86"/>
      <c r="J144" s="87"/>
      <c r="K144" s="87"/>
      <c r="L144" s="81"/>
      <c r="M144" s="123"/>
      <c r="N144" s="123"/>
      <c r="O144" s="123"/>
      <c r="P144" s="123"/>
      <c r="Q144" s="123"/>
      <c r="R144" s="123"/>
      <c r="S144" s="123"/>
      <c r="T144" s="86"/>
      <c r="U144" s="87"/>
      <c r="V144" s="81"/>
      <c r="W144" s="87"/>
      <c r="X144" s="86"/>
      <c r="Y144" s="87"/>
      <c r="Z144" s="86"/>
      <c r="AA144" s="87"/>
      <c r="AB144" s="86"/>
      <c r="AC144" s="86"/>
      <c r="AD144" s="109"/>
      <c r="AE144" s="109"/>
      <c r="AF144" s="109"/>
      <c r="AG144" s="48"/>
    </row>
    <row r="145" spans="1:9" hidden="1" x14ac:dyDescent="1.05"/>
    <row r="146" spans="1:9" hidden="1" x14ac:dyDescent="1.05"/>
    <row r="147" spans="1:9" hidden="1" x14ac:dyDescent="1.05">
      <c r="A147" s="106" t="s">
        <v>532</v>
      </c>
    </row>
    <row r="148" spans="1:9" ht="69.75" hidden="1" customHeight="1" x14ac:dyDescent="1.05">
      <c r="A148" s="81" t="s">
        <v>490</v>
      </c>
      <c r="B148" s="107">
        <f t="shared" ref="B148:D159" si="67">B125</f>
        <v>-105088.56</v>
      </c>
      <c r="C148" s="107">
        <f t="shared" si="67"/>
        <v>50474.14</v>
      </c>
      <c r="D148" s="107">
        <f t="shared" si="67"/>
        <v>54614.42</v>
      </c>
      <c r="E148" s="107">
        <v>0</v>
      </c>
      <c r="F148" s="107">
        <v>0</v>
      </c>
      <c r="G148" s="107">
        <v>0</v>
      </c>
      <c r="H148" s="107">
        <v>0</v>
      </c>
      <c r="I148" s="86">
        <f>SUM(B148:H148)</f>
        <v>0</v>
      </c>
    </row>
    <row r="149" spans="1:9" ht="69.75" hidden="1" customHeight="1" x14ac:dyDescent="1.05">
      <c r="A149" s="81" t="s">
        <v>491</v>
      </c>
      <c r="B149" s="107">
        <f t="shared" si="67"/>
        <v>-6267.44</v>
      </c>
      <c r="C149" s="107">
        <f t="shared" si="67"/>
        <v>3272.2</v>
      </c>
      <c r="D149" s="107">
        <f t="shared" si="67"/>
        <v>2995.24</v>
      </c>
      <c r="E149" s="107">
        <v>0</v>
      </c>
      <c r="F149" s="107">
        <v>0</v>
      </c>
      <c r="G149" s="107">
        <v>0</v>
      </c>
      <c r="H149" s="107">
        <v>0</v>
      </c>
      <c r="I149" s="86">
        <f t="shared" ref="I149:I171" si="68">SUM(B149:H149)</f>
        <v>0</v>
      </c>
    </row>
    <row r="150" spans="1:9" ht="69.75" hidden="1" customHeight="1" x14ac:dyDescent="1.05">
      <c r="A150" s="81" t="s">
        <v>492</v>
      </c>
      <c r="B150" s="107">
        <f t="shared" si="67"/>
        <v>-8711.23</v>
      </c>
      <c r="C150" s="107">
        <f t="shared" si="67"/>
        <v>3179.07</v>
      </c>
      <c r="D150" s="107">
        <f t="shared" si="67"/>
        <v>5532.16</v>
      </c>
      <c r="E150" s="107">
        <v>0</v>
      </c>
      <c r="F150" s="107">
        <v>0</v>
      </c>
      <c r="G150" s="107">
        <v>0</v>
      </c>
      <c r="H150" s="107">
        <v>0</v>
      </c>
      <c r="I150" s="86">
        <f t="shared" si="68"/>
        <v>0</v>
      </c>
    </row>
    <row r="151" spans="1:9" ht="69.75" hidden="1" customHeight="1" x14ac:dyDescent="1.05">
      <c r="A151" s="81" t="s">
        <v>493</v>
      </c>
      <c r="B151" s="107">
        <f t="shared" si="67"/>
        <v>-1553.31</v>
      </c>
      <c r="C151" s="107">
        <f t="shared" si="67"/>
        <v>776.63</v>
      </c>
      <c r="D151" s="107">
        <f t="shared" si="67"/>
        <v>776.68</v>
      </c>
      <c r="E151" s="107">
        <v>0</v>
      </c>
      <c r="F151" s="107">
        <v>0</v>
      </c>
      <c r="G151" s="107">
        <v>0</v>
      </c>
      <c r="H151" s="107">
        <v>0</v>
      </c>
      <c r="I151" s="86">
        <f t="shared" si="68"/>
        <v>0</v>
      </c>
    </row>
    <row r="152" spans="1:9" ht="69.75" hidden="1" customHeight="1" x14ac:dyDescent="1.05">
      <c r="A152" s="81" t="s">
        <v>494</v>
      </c>
      <c r="B152" s="107">
        <f t="shared" si="67"/>
        <v>-3101.2</v>
      </c>
      <c r="C152" s="107">
        <f t="shared" si="67"/>
        <v>1469.63</v>
      </c>
      <c r="D152" s="107">
        <f t="shared" si="67"/>
        <v>1631.57</v>
      </c>
      <c r="E152" s="107">
        <v>0</v>
      </c>
      <c r="F152" s="107">
        <v>0</v>
      </c>
      <c r="G152" s="107">
        <v>0</v>
      </c>
      <c r="H152" s="107">
        <v>0</v>
      </c>
      <c r="I152" s="86">
        <f t="shared" si="68"/>
        <v>2.2737367544323206E-13</v>
      </c>
    </row>
    <row r="153" spans="1:9" ht="69.75" hidden="1" customHeight="1" x14ac:dyDescent="1.05">
      <c r="A153" s="81" t="s">
        <v>495</v>
      </c>
      <c r="B153" s="107">
        <f t="shared" si="67"/>
        <v>-1750</v>
      </c>
      <c r="C153" s="107">
        <f t="shared" si="67"/>
        <v>500</v>
      </c>
      <c r="D153" s="107">
        <f t="shared" si="67"/>
        <v>1250</v>
      </c>
      <c r="E153" s="107">
        <v>0</v>
      </c>
      <c r="F153" s="107">
        <v>0</v>
      </c>
      <c r="G153" s="107">
        <v>0</v>
      </c>
      <c r="H153" s="107">
        <v>0</v>
      </c>
      <c r="I153" s="86">
        <f t="shared" si="68"/>
        <v>0</v>
      </c>
    </row>
    <row r="154" spans="1:9" ht="69.75" hidden="1" customHeight="1" x14ac:dyDescent="1.05">
      <c r="A154" s="81" t="s">
        <v>496</v>
      </c>
      <c r="B154" s="107">
        <f t="shared" si="67"/>
        <v>-1560.4349999999999</v>
      </c>
      <c r="C154" s="107">
        <f t="shared" si="67"/>
        <v>1560.4349999999999</v>
      </c>
      <c r="D154" s="107">
        <f t="shared" si="67"/>
        <v>0</v>
      </c>
      <c r="E154" s="107">
        <v>0</v>
      </c>
      <c r="F154" s="107">
        <v>0</v>
      </c>
      <c r="G154" s="107">
        <v>0</v>
      </c>
      <c r="H154" s="107">
        <v>0</v>
      </c>
      <c r="I154" s="86">
        <f t="shared" si="68"/>
        <v>0</v>
      </c>
    </row>
    <row r="155" spans="1:9" ht="69.75" hidden="1" customHeight="1" x14ac:dyDescent="1.05">
      <c r="A155" s="81" t="s">
        <v>497</v>
      </c>
      <c r="B155" s="107">
        <f t="shared" si="67"/>
        <v>-440.46700000000004</v>
      </c>
      <c r="C155" s="107">
        <f t="shared" si="67"/>
        <v>440.46700000000004</v>
      </c>
      <c r="D155" s="107">
        <f t="shared" si="67"/>
        <v>0</v>
      </c>
      <c r="E155" s="107">
        <v>0</v>
      </c>
      <c r="F155" s="107">
        <v>0</v>
      </c>
      <c r="G155" s="107">
        <v>0</v>
      </c>
      <c r="H155" s="107">
        <v>0</v>
      </c>
      <c r="I155" s="86">
        <f t="shared" si="68"/>
        <v>0</v>
      </c>
    </row>
    <row r="156" spans="1:9" ht="69.75" hidden="1" customHeight="1" x14ac:dyDescent="1.05">
      <c r="A156" s="81" t="s">
        <v>498</v>
      </c>
      <c r="B156" s="107">
        <f t="shared" si="67"/>
        <v>-202.73399999999998</v>
      </c>
      <c r="C156" s="107">
        <f t="shared" si="67"/>
        <v>202.73399999999998</v>
      </c>
      <c r="D156" s="107">
        <f t="shared" si="67"/>
        <v>0</v>
      </c>
      <c r="E156" s="107">
        <v>0</v>
      </c>
      <c r="F156" s="107">
        <v>0</v>
      </c>
      <c r="G156" s="107">
        <v>0</v>
      </c>
      <c r="H156" s="107">
        <v>0</v>
      </c>
      <c r="I156" s="86">
        <f t="shared" si="68"/>
        <v>0</v>
      </c>
    </row>
    <row r="157" spans="1:9" ht="69.75" hidden="1" customHeight="1" x14ac:dyDescent="1.05">
      <c r="A157" s="81" t="s">
        <v>499</v>
      </c>
      <c r="B157" s="107">
        <f t="shared" si="67"/>
        <v>-2374.7180000000003</v>
      </c>
      <c r="C157" s="107">
        <f t="shared" si="67"/>
        <v>1187.3590000000002</v>
      </c>
      <c r="D157" s="107">
        <f t="shared" si="67"/>
        <v>1187.3590000000002</v>
      </c>
      <c r="E157" s="107">
        <f>E134</f>
        <v>0</v>
      </c>
      <c r="F157" s="107">
        <v>0</v>
      </c>
      <c r="G157" s="107">
        <v>0</v>
      </c>
      <c r="H157" s="107">
        <v>0</v>
      </c>
      <c r="I157" s="86">
        <f t="shared" si="68"/>
        <v>0</v>
      </c>
    </row>
    <row r="158" spans="1:9" ht="69.75" hidden="1" customHeight="1" x14ac:dyDescent="1.05">
      <c r="A158" s="81" t="s">
        <v>500</v>
      </c>
      <c r="B158" s="107">
        <f t="shared" si="67"/>
        <v>-228.37499999999997</v>
      </c>
      <c r="C158" s="107">
        <f t="shared" si="67"/>
        <v>65.25</v>
      </c>
      <c r="D158" s="107">
        <f t="shared" si="67"/>
        <v>163.125</v>
      </c>
      <c r="E158" s="107">
        <v>0</v>
      </c>
      <c r="F158" s="107">
        <v>0</v>
      </c>
      <c r="G158" s="107">
        <v>0</v>
      </c>
      <c r="H158" s="107">
        <v>0</v>
      </c>
      <c r="I158" s="86">
        <f t="shared" si="68"/>
        <v>2.8421709430404007E-14</v>
      </c>
    </row>
    <row r="159" spans="1:9" ht="69.75" hidden="1" customHeight="1" x14ac:dyDescent="1.05">
      <c r="A159" s="81" t="s">
        <v>501</v>
      </c>
      <c r="B159" s="107">
        <f t="shared" si="67"/>
        <v>-11370.73</v>
      </c>
      <c r="C159" s="107">
        <f t="shared" si="67"/>
        <v>0</v>
      </c>
      <c r="D159" s="107">
        <f t="shared" si="67"/>
        <v>11370.73</v>
      </c>
      <c r="E159" s="107">
        <v>0</v>
      </c>
      <c r="F159" s="107">
        <v>0</v>
      </c>
      <c r="G159" s="107">
        <v>0</v>
      </c>
      <c r="H159" s="107">
        <v>0</v>
      </c>
      <c r="I159" s="86">
        <f t="shared" si="68"/>
        <v>0</v>
      </c>
    </row>
    <row r="160" spans="1:9" ht="69.75" hidden="1" customHeight="1" thickBot="1" x14ac:dyDescent="1.1000000000000001">
      <c r="B160" s="108">
        <f>SUM(B148:B159)</f>
        <v>-142649.19899999999</v>
      </c>
      <c r="C160" s="108">
        <f t="shared" ref="C160:D160" si="69">SUM(C148:C159)</f>
        <v>63127.914999999979</v>
      </c>
      <c r="D160" s="108">
        <f t="shared" si="69"/>
        <v>79521.283999999985</v>
      </c>
      <c r="E160" s="107">
        <v>0</v>
      </c>
      <c r="F160" s="107">
        <v>0</v>
      </c>
      <c r="G160" s="107">
        <v>0</v>
      </c>
      <c r="H160" s="107">
        <v>0</v>
      </c>
      <c r="I160" s="86">
        <f t="shared" si="68"/>
        <v>-2.9103830456733704E-11</v>
      </c>
    </row>
    <row r="161" spans="1:17" ht="69.75" hidden="1" customHeight="1" thickTop="1" x14ac:dyDescent="1.05">
      <c r="A161" s="81" t="s">
        <v>502</v>
      </c>
      <c r="B161" s="107">
        <f>D160</f>
        <v>79521.283999999985</v>
      </c>
      <c r="C161" s="107"/>
      <c r="D161" s="107"/>
      <c r="E161" s="107">
        <v>0</v>
      </c>
      <c r="F161" s="107">
        <v>0</v>
      </c>
      <c r="G161" s="107">
        <v>0</v>
      </c>
      <c r="H161" s="107">
        <v>0</v>
      </c>
      <c r="I161" s="86"/>
    </row>
    <row r="162" spans="1:17" ht="69.75" hidden="1" customHeight="1" x14ac:dyDescent="1.05">
      <c r="A162" s="81" t="s">
        <v>503</v>
      </c>
      <c r="B162" s="107">
        <f>C160</f>
        <v>63127.914999999979</v>
      </c>
      <c r="C162" s="107"/>
      <c r="D162" s="107"/>
      <c r="E162" s="107">
        <v>0</v>
      </c>
      <c r="F162" s="107">
        <v>0</v>
      </c>
      <c r="G162" s="107">
        <v>0</v>
      </c>
      <c r="H162" s="107">
        <v>0</v>
      </c>
      <c r="I162" s="86"/>
    </row>
    <row r="163" spans="1:17" ht="69.75" hidden="1" customHeight="1" thickBot="1" x14ac:dyDescent="1.1000000000000001">
      <c r="B163" s="108">
        <f>SUM(B161:B162)</f>
        <v>142649.19899999996</v>
      </c>
      <c r="C163" s="107"/>
      <c r="D163" s="107"/>
      <c r="E163" s="107">
        <v>0</v>
      </c>
      <c r="F163" s="107">
        <v>0</v>
      </c>
      <c r="G163" s="107">
        <v>0</v>
      </c>
      <c r="H163" s="107">
        <v>0</v>
      </c>
      <c r="I163" s="86"/>
    </row>
    <row r="164" spans="1:17" ht="69.75" hidden="1" customHeight="1" thickTop="1" x14ac:dyDescent="1.05">
      <c r="A164" s="81" t="s">
        <v>504</v>
      </c>
      <c r="B164" s="107"/>
      <c r="C164" s="107">
        <f>-C160</f>
        <v>-63127.914999999979</v>
      </c>
      <c r="D164" s="107"/>
      <c r="E164" s="107">
        <v>0</v>
      </c>
      <c r="F164" s="107">
        <v>0</v>
      </c>
      <c r="G164" s="107">
        <v>0</v>
      </c>
      <c r="H164" s="107">
        <v>0</v>
      </c>
      <c r="I164" s="86"/>
    </row>
    <row r="165" spans="1:17" ht="69.75" hidden="1" customHeight="1" x14ac:dyDescent="1.05">
      <c r="A165" s="81" t="s">
        <v>505</v>
      </c>
      <c r="B165" s="107"/>
      <c r="C165" s="107"/>
      <c r="D165" s="107">
        <f>-D160</f>
        <v>-79521.283999999985</v>
      </c>
      <c r="E165" s="107">
        <v>0</v>
      </c>
      <c r="F165" s="107">
        <v>0</v>
      </c>
      <c r="G165" s="107">
        <v>0</v>
      </c>
      <c r="H165" s="107">
        <v>0</v>
      </c>
      <c r="I165" s="86"/>
    </row>
    <row r="166" spans="1:17" ht="69.75" hidden="1" customHeight="1" x14ac:dyDescent="1.05">
      <c r="B166" s="107"/>
      <c r="C166" s="107"/>
      <c r="D166" s="107"/>
      <c r="E166" s="107"/>
      <c r="F166" s="107"/>
      <c r="G166" s="107"/>
      <c r="H166" s="107"/>
      <c r="I166" s="86"/>
    </row>
    <row r="167" spans="1:17" ht="69.75" hidden="1" customHeight="1" x14ac:dyDescent="1.05">
      <c r="A167" s="106" t="s">
        <v>531</v>
      </c>
      <c r="B167" s="107"/>
      <c r="C167" s="107"/>
      <c r="D167" s="107"/>
      <c r="E167" s="107">
        <v>0</v>
      </c>
      <c r="F167" s="107">
        <v>0</v>
      </c>
      <c r="G167" s="107">
        <v>0</v>
      </c>
      <c r="H167" s="107">
        <v>0</v>
      </c>
      <c r="I167" s="86"/>
    </row>
    <row r="168" spans="1:17" ht="69.75" hidden="1" customHeight="1" x14ac:dyDescent="1.05">
      <c r="A168" s="81" t="s">
        <v>506</v>
      </c>
      <c r="B168" s="107">
        <v>-51828.31</v>
      </c>
      <c r="C168" s="107">
        <v>26333.26</v>
      </c>
      <c r="D168" s="107">
        <v>25495.05</v>
      </c>
      <c r="E168" s="107">
        <v>0</v>
      </c>
      <c r="F168" s="107">
        <v>0</v>
      </c>
      <c r="G168" s="107">
        <v>0</v>
      </c>
      <c r="H168" s="107">
        <v>0</v>
      </c>
      <c r="I168" s="86"/>
    </row>
    <row r="169" spans="1:17" ht="69.75" hidden="1" customHeight="1" x14ac:dyDescent="1.05">
      <c r="A169" s="81" t="s">
        <v>507</v>
      </c>
      <c r="B169" s="107">
        <v>-3192.67</v>
      </c>
      <c r="C169" s="107">
        <v>1702.61</v>
      </c>
      <c r="D169" s="107">
        <v>1490.06</v>
      </c>
      <c r="E169" s="107">
        <v>0</v>
      </c>
      <c r="F169" s="107">
        <v>0</v>
      </c>
      <c r="G169" s="107">
        <v>0</v>
      </c>
      <c r="H169" s="107">
        <v>0</v>
      </c>
      <c r="I169" s="86"/>
    </row>
    <row r="170" spans="1:17" ht="69.75" hidden="1" customHeight="1" thickBot="1" x14ac:dyDescent="1.1000000000000001">
      <c r="A170" s="81" t="s">
        <v>508</v>
      </c>
      <c r="B170" s="108">
        <f>-B168+-B169</f>
        <v>55020.979999999996</v>
      </c>
      <c r="C170" s="108">
        <f>-C168+-C169</f>
        <v>-28035.87</v>
      </c>
      <c r="D170" s="108">
        <f>-D168+-D169</f>
        <v>-26985.11</v>
      </c>
      <c r="E170" s="107">
        <v>0</v>
      </c>
      <c r="F170" s="107">
        <v>0</v>
      </c>
      <c r="G170" s="107">
        <v>0</v>
      </c>
      <c r="H170" s="107">
        <v>0</v>
      </c>
      <c r="I170" s="86"/>
    </row>
    <row r="171" spans="1:17" ht="69.75" hidden="1" customHeight="1" thickTop="1" x14ac:dyDescent="1.05">
      <c r="B171" s="107"/>
      <c r="C171" s="107">
        <f>-C170+C160-C137-C142</f>
        <v>0</v>
      </c>
      <c r="D171" s="107">
        <f>-D170+D160-D137-D142</f>
        <v>0</v>
      </c>
      <c r="E171" s="107">
        <v>0</v>
      </c>
      <c r="F171" s="107">
        <v>0</v>
      </c>
      <c r="G171" s="107">
        <v>0</v>
      </c>
      <c r="H171" s="107">
        <v>0</v>
      </c>
      <c r="I171" s="86">
        <f t="shared" si="68"/>
        <v>0</v>
      </c>
    </row>
    <row r="172" spans="1:17" hidden="1" x14ac:dyDescent="1.05"/>
    <row r="173" spans="1:17" hidden="1" x14ac:dyDescent="1.05"/>
    <row r="174" spans="1:17" hidden="1" x14ac:dyDescent="1.05"/>
    <row r="176" spans="1:17" x14ac:dyDescent="1.05">
      <c r="Q176" s="123"/>
    </row>
    <row r="177" spans="2:19" x14ac:dyDescent="1.05">
      <c r="M177" s="127">
        <v>-4535606.05</v>
      </c>
      <c r="N177" s="127">
        <v>223598.61</v>
      </c>
      <c r="O177" s="127">
        <v>985578.95</v>
      </c>
      <c r="P177" s="127">
        <v>68753.960000000006</v>
      </c>
      <c r="Q177" s="127">
        <v>-46184.22</v>
      </c>
      <c r="R177" s="127">
        <v>102973.5</v>
      </c>
      <c r="S177" s="127">
        <v>-39513.269999999997</v>
      </c>
    </row>
    <row r="178" spans="2:19" x14ac:dyDescent="1.05">
      <c r="M178" s="127">
        <f>M120-M177</f>
        <v>6.1001628637313843E-7</v>
      </c>
      <c r="N178" s="127">
        <f>N177-N120</f>
        <v>1.0710209608078003E-8</v>
      </c>
      <c r="O178" s="127">
        <f>O177-O120</f>
        <v>0</v>
      </c>
      <c r="P178" s="127">
        <f>P177-P120</f>
        <v>0</v>
      </c>
      <c r="Q178" s="127">
        <f>Q120-Q177</f>
        <v>0</v>
      </c>
      <c r="R178" s="127">
        <f>R120-R177</f>
        <v>0</v>
      </c>
      <c r="S178" s="127">
        <f>S120-S177</f>
        <v>0</v>
      </c>
    </row>
    <row r="179" spans="2:19" x14ac:dyDescent="1.05">
      <c r="B179" s="81">
        <v>-570607.76000017207</v>
      </c>
      <c r="C179" s="86">
        <f>C122-BPM!N80</f>
        <v>1.4784745872020721E-8</v>
      </c>
      <c r="D179" s="86">
        <f>D122-DEP!N82</f>
        <v>0</v>
      </c>
      <c r="E179" s="86">
        <f>E122-Lending!N21</f>
        <v>0</v>
      </c>
      <c r="F179" s="86">
        <f>F120-'BSC (Dome)'!N85</f>
        <v>7.6397554948925972E-11</v>
      </c>
      <c r="G179" s="86">
        <f>G122-'Oliari Co.'!N29</f>
        <v>0</v>
      </c>
      <c r="H179" s="86">
        <f>H122-'722 Bedford St'!N29</f>
        <v>0</v>
      </c>
      <c r="M179" s="127"/>
      <c r="N179" s="127"/>
      <c r="O179" s="127"/>
      <c r="P179" s="127"/>
      <c r="Q179" s="127"/>
      <c r="R179" s="127"/>
      <c r="S179" s="127"/>
    </row>
    <row r="180" spans="2:19" x14ac:dyDescent="1.05">
      <c r="B180" s="86">
        <f>B122-B179</f>
        <v>1.4314427971839905E-6</v>
      </c>
      <c r="M180" s="127"/>
      <c r="N180" s="127"/>
      <c r="O180" s="127"/>
      <c r="P180" s="127"/>
      <c r="Q180" s="127"/>
      <c r="R180" s="127"/>
      <c r="S180" s="127"/>
    </row>
    <row r="181" spans="2:19" x14ac:dyDescent="1.05">
      <c r="M181" s="127"/>
      <c r="N181" s="127"/>
      <c r="O181" s="127"/>
      <c r="P181" s="127"/>
      <c r="Q181" s="127"/>
      <c r="R181" s="127"/>
      <c r="S181" s="127"/>
    </row>
    <row r="182" spans="2:19" x14ac:dyDescent="1.05">
      <c r="M182" s="127"/>
      <c r="N182" s="127"/>
      <c r="O182" s="127"/>
      <c r="P182" s="127"/>
      <c r="Q182" s="127"/>
      <c r="R182" s="127"/>
      <c r="S182" s="127"/>
    </row>
    <row r="183" spans="2:19" x14ac:dyDescent="1.05">
      <c r="M183" s="127"/>
      <c r="N183" s="127"/>
      <c r="O183" s="127"/>
      <c r="P183" s="127"/>
      <c r="Q183" s="127"/>
      <c r="R183" s="127"/>
      <c r="S183" s="127"/>
    </row>
    <row r="184" spans="2:19" x14ac:dyDescent="1.05">
      <c r="M184" s="127"/>
      <c r="N184" s="127"/>
      <c r="O184" s="127"/>
      <c r="P184" s="127"/>
      <c r="Q184" s="127"/>
      <c r="R184" s="127"/>
      <c r="S184" s="127"/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0" fitToHeight="0" orientation="landscape" r:id="rId1"/>
  <headerFooter>
    <oddFooter>&amp;C&amp;16Page &amp;P of &amp;N</oddFooter>
  </headerFooter>
  <rowBreaks count="2" manualBreakCount="2">
    <brk id="37" max="31" man="1"/>
    <brk id="101" max="16383" man="1"/>
  </rowBreaks>
  <colBreaks count="2" manualBreakCount="2">
    <brk id="11" min="3" max="125" man="1"/>
    <brk id="21" min="3" max="1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83"/>
  <sheetViews>
    <sheetView zoomScaleNormal="100" workbookViewId="0">
      <pane ySplit="6" topLeftCell="A7" activePane="bottomLeft" state="frozen"/>
      <selection activeCell="C20" sqref="C20"/>
      <selection pane="bottomLeft" activeCell="P1" sqref="P1:P1048576"/>
    </sheetView>
  </sheetViews>
  <sheetFormatPr defaultRowHeight="14.4" x14ac:dyDescent="0.3"/>
  <cols>
    <col min="1" max="1" width="44.44140625" bestFit="1" customWidth="1"/>
    <col min="2" max="2" width="13" style="35" bestFit="1" customWidth="1"/>
    <col min="3" max="3" width="11.5546875" style="35" bestFit="1" customWidth="1"/>
    <col min="4" max="4" width="13.44140625" style="35" bestFit="1" customWidth="1"/>
    <col min="5" max="13" width="13" style="35" bestFit="1" customWidth="1"/>
    <col min="14" max="14" width="13.44140625" style="35" bestFit="1" customWidth="1"/>
    <col min="15" max="15" width="8.88671875" style="35"/>
  </cols>
  <sheetData>
    <row r="1" spans="1:14" x14ac:dyDescent="0.3">
      <c r="A1" s="176" t="s">
        <v>273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7" spans="1:14" x14ac:dyDescent="0.3">
      <c r="A7" s="28" t="s">
        <v>62</v>
      </c>
    </row>
    <row r="8" spans="1:14" x14ac:dyDescent="0.3">
      <c r="A8" t="s">
        <v>275</v>
      </c>
      <c r="B8" s="35">
        <v>1007.48</v>
      </c>
      <c r="C8" s="35">
        <v>2880.98</v>
      </c>
      <c r="D8" s="35">
        <v>11848.57</v>
      </c>
      <c r="E8" s="35">
        <v>8277.67</v>
      </c>
      <c r="F8" s="35">
        <v>59.53</v>
      </c>
      <c r="G8" s="35">
        <f>1079.75-0.03</f>
        <v>1079.72</v>
      </c>
      <c r="H8" s="35">
        <f>1171.63+9</f>
        <v>1180.6300000000001</v>
      </c>
      <c r="I8" s="35">
        <v>294.82</v>
      </c>
      <c r="J8" s="35">
        <v>425.67</v>
      </c>
      <c r="K8" s="35">
        <v>497.99</v>
      </c>
      <c r="L8" s="35">
        <v>1117.45</v>
      </c>
      <c r="M8" s="35">
        <v>1332.43</v>
      </c>
      <c r="N8" s="35">
        <f t="shared" ref="N8:N16" si="0">SUM(B8:M8)</f>
        <v>30002.94</v>
      </c>
    </row>
    <row r="9" spans="1:14" x14ac:dyDescent="0.3">
      <c r="A9" t="s">
        <v>276</v>
      </c>
      <c r="B9" s="35">
        <v>1315</v>
      </c>
      <c r="C9" s="35">
        <v>690</v>
      </c>
      <c r="D9" s="35">
        <v>380</v>
      </c>
      <c r="E9" s="35">
        <v>0</v>
      </c>
      <c r="F9" s="35">
        <v>0</v>
      </c>
      <c r="G9" s="35">
        <v>0</v>
      </c>
      <c r="H9" s="35">
        <v>540</v>
      </c>
      <c r="I9" s="35">
        <v>830</v>
      </c>
      <c r="J9" s="35">
        <v>605</v>
      </c>
      <c r="K9" s="35">
        <v>530</v>
      </c>
      <c r="L9" s="35">
        <v>540</v>
      </c>
      <c r="M9" s="35">
        <v>2275</v>
      </c>
      <c r="N9" s="35">
        <f t="shared" si="0"/>
        <v>7705</v>
      </c>
    </row>
    <row r="10" spans="1:14" x14ac:dyDescent="0.3">
      <c r="A10" t="s">
        <v>333</v>
      </c>
      <c r="B10" s="35">
        <v>150</v>
      </c>
      <c r="C10" s="35">
        <v>100</v>
      </c>
      <c r="D10" s="35">
        <v>150</v>
      </c>
      <c r="E10" s="35">
        <v>0</v>
      </c>
      <c r="F10" s="35">
        <v>100</v>
      </c>
      <c r="G10" s="35">
        <v>50</v>
      </c>
      <c r="H10" s="35">
        <v>150</v>
      </c>
      <c r="I10" s="35">
        <v>50</v>
      </c>
      <c r="J10" s="35">
        <v>50</v>
      </c>
      <c r="K10" s="35">
        <v>150</v>
      </c>
      <c r="L10" s="35">
        <v>0</v>
      </c>
      <c r="M10" s="35">
        <v>0</v>
      </c>
      <c r="N10" s="35">
        <f t="shared" si="0"/>
        <v>950</v>
      </c>
    </row>
    <row r="11" spans="1:14" x14ac:dyDescent="0.3">
      <c r="A11" t="s">
        <v>277</v>
      </c>
      <c r="B11" s="35">
        <v>74672.5</v>
      </c>
      <c r="C11" s="35">
        <v>77307.5</v>
      </c>
      <c r="D11" s="35">
        <v>85637.5</v>
      </c>
      <c r="E11" s="35">
        <v>107355</v>
      </c>
      <c r="F11" s="35">
        <v>119340</v>
      </c>
      <c r="G11" s="35">
        <v>128860</v>
      </c>
      <c r="H11" s="35">
        <v>158737.5</v>
      </c>
      <c r="I11" s="35">
        <v>200812.5</v>
      </c>
      <c r="J11" s="35">
        <v>220447.5</v>
      </c>
      <c r="K11" s="35">
        <v>134002.5</v>
      </c>
      <c r="L11" s="35">
        <v>145690</v>
      </c>
      <c r="M11" s="35">
        <v>187127.5</v>
      </c>
      <c r="N11" s="35">
        <f t="shared" si="0"/>
        <v>1639990</v>
      </c>
    </row>
    <row r="12" spans="1:14" x14ac:dyDescent="0.3">
      <c r="A12" t="s">
        <v>305</v>
      </c>
      <c r="B12" s="35">
        <v>29225</v>
      </c>
      <c r="C12" s="35">
        <v>0</v>
      </c>
      <c r="D12" s="35">
        <v>67262</v>
      </c>
      <c r="E12" s="35">
        <v>0</v>
      </c>
      <c r="F12" s="35">
        <v>109042</v>
      </c>
      <c r="G12" s="35">
        <v>21090</v>
      </c>
      <c r="H12" s="35">
        <v>26700</v>
      </c>
      <c r="I12" s="35">
        <v>19838</v>
      </c>
      <c r="J12" s="35">
        <v>527275</v>
      </c>
      <c r="K12" s="35">
        <v>238875</v>
      </c>
      <c r="L12" s="35">
        <v>50050</v>
      </c>
      <c r="M12" s="35">
        <v>258825</v>
      </c>
      <c r="N12" s="35">
        <f t="shared" si="0"/>
        <v>1348182</v>
      </c>
    </row>
    <row r="13" spans="1:14" x14ac:dyDescent="0.3">
      <c r="A13" t="s">
        <v>278</v>
      </c>
      <c r="B13" s="35">
        <v>3474</v>
      </c>
      <c r="C13" s="35">
        <v>3440.25</v>
      </c>
      <c r="D13" s="35">
        <v>3440.25</v>
      </c>
      <c r="E13" s="35">
        <v>5316.75</v>
      </c>
      <c r="F13" s="35">
        <v>5316.75</v>
      </c>
      <c r="G13" s="35">
        <v>7155.5</v>
      </c>
      <c r="H13" s="35">
        <v>7110.5</v>
      </c>
      <c r="I13" s="35">
        <v>7819.25</v>
      </c>
      <c r="J13" s="35">
        <v>6844.25</v>
      </c>
      <c r="K13" s="35">
        <v>6810.5</v>
      </c>
      <c r="L13" s="35">
        <v>6810.5</v>
      </c>
      <c r="M13" s="35">
        <v>6810.5</v>
      </c>
      <c r="N13" s="35">
        <f t="shared" si="0"/>
        <v>70349</v>
      </c>
    </row>
    <row r="14" spans="1:14" x14ac:dyDescent="0.3">
      <c r="A14" t="s">
        <v>423</v>
      </c>
      <c r="B14" s="35">
        <v>39424.43</v>
      </c>
      <c r="C14" s="35">
        <v>30082.99</v>
      </c>
      <c r="D14" s="35">
        <v>37907.64</v>
      </c>
      <c r="E14" s="35">
        <v>44830.54</v>
      </c>
      <c r="F14" s="35">
        <v>40289.01</v>
      </c>
      <c r="G14" s="35">
        <v>22639.5</v>
      </c>
      <c r="H14" s="35">
        <v>36972.589999999997</v>
      </c>
      <c r="I14" s="35">
        <v>37608.94</v>
      </c>
      <c r="J14" s="35">
        <v>39991</v>
      </c>
      <c r="K14" s="35">
        <v>40484.660000000003</v>
      </c>
      <c r="L14" s="35">
        <v>31427.23</v>
      </c>
      <c r="M14" s="35">
        <v>31333.83</v>
      </c>
      <c r="N14" s="35">
        <f t="shared" si="0"/>
        <v>432992.36000000004</v>
      </c>
    </row>
    <row r="15" spans="1:14" x14ac:dyDescent="0.3">
      <c r="A15" t="s">
        <v>424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8000</v>
      </c>
      <c r="H15" s="35">
        <v>1333.33</v>
      </c>
      <c r="I15" s="35">
        <v>1333.33</v>
      </c>
      <c r="J15" s="35">
        <v>1333.33</v>
      </c>
      <c r="K15" s="35">
        <v>1333.33</v>
      </c>
      <c r="L15" s="35">
        <v>1333.34</v>
      </c>
      <c r="M15" s="35">
        <v>1333.34</v>
      </c>
      <c r="N15" s="35">
        <f t="shared" si="0"/>
        <v>16000</v>
      </c>
    </row>
    <row r="16" spans="1:14" x14ac:dyDescent="0.3">
      <c r="A16" t="s">
        <v>425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38415.89</v>
      </c>
      <c r="H16" s="35">
        <v>6304.08</v>
      </c>
      <c r="I16" s="35">
        <v>6205.45</v>
      </c>
      <c r="J16" s="35">
        <v>5848.28</v>
      </c>
      <c r="K16" s="35">
        <v>6050.97</v>
      </c>
      <c r="L16" s="35">
        <v>5781.92</v>
      </c>
      <c r="M16" s="35">
        <v>5948.1</v>
      </c>
      <c r="N16" s="35">
        <f t="shared" si="0"/>
        <v>74554.69</v>
      </c>
    </row>
    <row r="17" spans="1:14" x14ac:dyDescent="0.3">
      <c r="A17" s="28" t="s">
        <v>223</v>
      </c>
      <c r="B17" s="37">
        <f t="shared" ref="B17:N17" si="1">SUM(B8:B16)</f>
        <v>149268.41</v>
      </c>
      <c r="C17" s="37">
        <f t="shared" si="1"/>
        <v>114501.72</v>
      </c>
      <c r="D17" s="37">
        <f t="shared" si="1"/>
        <v>206625.96000000002</v>
      </c>
      <c r="E17" s="37">
        <f t="shared" si="1"/>
        <v>165779.96</v>
      </c>
      <c r="F17" s="37">
        <f t="shared" si="1"/>
        <v>274147.28999999998</v>
      </c>
      <c r="G17" s="37">
        <f t="shared" ref="G17:L17" si="2">SUM(G8:G16)</f>
        <v>227290.61</v>
      </c>
      <c r="H17" s="37">
        <f t="shared" si="2"/>
        <v>239028.62999999998</v>
      </c>
      <c r="I17" s="37">
        <f t="shared" si="2"/>
        <v>274792.29000000004</v>
      </c>
      <c r="J17" s="37">
        <f t="shared" si="2"/>
        <v>802820.03</v>
      </c>
      <c r="K17" s="37">
        <f t="shared" si="2"/>
        <v>428734.95</v>
      </c>
      <c r="L17" s="37">
        <f t="shared" si="2"/>
        <v>242750.44000000003</v>
      </c>
      <c r="M17" s="37">
        <f t="shared" si="1"/>
        <v>494985.7</v>
      </c>
      <c r="N17" s="37">
        <f t="shared" si="1"/>
        <v>3620725.9899999998</v>
      </c>
    </row>
    <row r="19" spans="1:14" x14ac:dyDescent="0.3">
      <c r="A19" s="28" t="s">
        <v>279</v>
      </c>
      <c r="N19" s="35">
        <f>SUM(B19:F19)</f>
        <v>0</v>
      </c>
    </row>
    <row r="20" spans="1:14" x14ac:dyDescent="0.3">
      <c r="A20" t="s">
        <v>281</v>
      </c>
      <c r="B20" s="35">
        <v>1052.68</v>
      </c>
      <c r="C20" s="35">
        <v>7138.13</v>
      </c>
      <c r="D20" s="35">
        <v>9184.15</v>
      </c>
      <c r="E20" s="35">
        <v>19400.439999999999</v>
      </c>
      <c r="F20" s="35">
        <v>36.549999999999997</v>
      </c>
      <c r="G20" s="35">
        <v>15295.31</v>
      </c>
      <c r="H20" s="35">
        <v>15289.72</v>
      </c>
      <c r="I20" s="35">
        <v>12182.21</v>
      </c>
      <c r="J20" s="35">
        <v>24364.43</v>
      </c>
      <c r="K20" s="35">
        <v>0</v>
      </c>
      <c r="L20" s="35">
        <v>0</v>
      </c>
      <c r="M20" s="35">
        <v>24948.880000000001</v>
      </c>
      <c r="N20" s="35">
        <f>SUM(B20:M20)</f>
        <v>128892.5</v>
      </c>
    </row>
    <row r="21" spans="1:14" x14ac:dyDescent="0.3">
      <c r="A21" t="s">
        <v>280</v>
      </c>
      <c r="B21" s="35">
        <v>45325</v>
      </c>
      <c r="C21" s="35">
        <v>0</v>
      </c>
      <c r="D21" s="35">
        <v>11772.5</v>
      </c>
      <c r="E21" s="35">
        <v>11772.5</v>
      </c>
      <c r="F21" s="35">
        <v>0</v>
      </c>
      <c r="G21" s="35">
        <v>26350</v>
      </c>
      <c r="H21" s="35">
        <v>0</v>
      </c>
      <c r="I21" s="35">
        <v>36548.32</v>
      </c>
      <c r="J21" s="35">
        <v>36546.639999999999</v>
      </c>
      <c r="K21" s="35">
        <v>72983.460000000006</v>
      </c>
      <c r="L21" s="35">
        <v>17340</v>
      </c>
      <c r="M21" s="35">
        <v>121062.71</v>
      </c>
      <c r="N21" s="35">
        <f>SUM(B21:M21)</f>
        <v>379701.13000000006</v>
      </c>
    </row>
    <row r="22" spans="1:14" x14ac:dyDescent="0.3">
      <c r="A22" t="s">
        <v>426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4534.2</v>
      </c>
      <c r="H22" s="35">
        <v>0</v>
      </c>
      <c r="I22" s="35">
        <v>1400.86</v>
      </c>
      <c r="J22" s="35">
        <v>0</v>
      </c>
      <c r="K22" s="35">
        <v>4448.28</v>
      </c>
      <c r="L22" s="35">
        <v>0</v>
      </c>
      <c r="M22" s="35">
        <v>850.84</v>
      </c>
      <c r="N22" s="35">
        <f>SUM(B22:M22)</f>
        <v>11234.18</v>
      </c>
    </row>
    <row r="23" spans="1:14" x14ac:dyDescent="0.3">
      <c r="A23" s="28" t="s">
        <v>282</v>
      </c>
      <c r="B23" s="37">
        <f t="shared" ref="B23:N23" si="3">SUM(B20:B22)</f>
        <v>46377.68</v>
      </c>
      <c r="C23" s="37">
        <f t="shared" si="3"/>
        <v>7138.13</v>
      </c>
      <c r="D23" s="37">
        <f t="shared" si="3"/>
        <v>20956.650000000001</v>
      </c>
      <c r="E23" s="37">
        <f t="shared" si="3"/>
        <v>31172.94</v>
      </c>
      <c r="F23" s="37">
        <f t="shared" si="3"/>
        <v>36.549999999999997</v>
      </c>
      <c r="G23" s="37">
        <f t="shared" si="3"/>
        <v>46179.509999999995</v>
      </c>
      <c r="H23" s="37">
        <f t="shared" si="3"/>
        <v>15289.72</v>
      </c>
      <c r="I23" s="37">
        <f t="shared" si="3"/>
        <v>50131.39</v>
      </c>
      <c r="J23" s="37">
        <f t="shared" si="3"/>
        <v>60911.07</v>
      </c>
      <c r="K23" s="37">
        <f t="shared" si="3"/>
        <v>77431.740000000005</v>
      </c>
      <c r="L23" s="37">
        <f t="shared" si="3"/>
        <v>17340</v>
      </c>
      <c r="M23" s="37">
        <f t="shared" si="3"/>
        <v>146862.43</v>
      </c>
      <c r="N23" s="37">
        <f t="shared" si="3"/>
        <v>519827.81000000006</v>
      </c>
    </row>
    <row r="25" spans="1:14" ht="15" thickBot="1" x14ac:dyDescent="0.35">
      <c r="A25" s="28" t="s">
        <v>211</v>
      </c>
      <c r="B25" s="38">
        <f t="shared" ref="B25:N25" si="4">B17-B23</f>
        <v>102890.73000000001</v>
      </c>
      <c r="C25" s="38">
        <f t="shared" si="4"/>
        <v>107363.59</v>
      </c>
      <c r="D25" s="38">
        <f t="shared" si="4"/>
        <v>185669.31000000003</v>
      </c>
      <c r="E25" s="38">
        <f t="shared" si="4"/>
        <v>134607.01999999999</v>
      </c>
      <c r="F25" s="38">
        <f t="shared" si="4"/>
        <v>274110.74</v>
      </c>
      <c r="G25" s="38">
        <f t="shared" si="4"/>
        <v>181111.09999999998</v>
      </c>
      <c r="H25" s="38">
        <f t="shared" si="4"/>
        <v>223738.90999999997</v>
      </c>
      <c r="I25" s="38">
        <f t="shared" si="4"/>
        <v>224660.90000000002</v>
      </c>
      <c r="J25" s="38">
        <f t="shared" si="4"/>
        <v>741908.96000000008</v>
      </c>
      <c r="K25" s="38">
        <f t="shared" si="4"/>
        <v>351303.21</v>
      </c>
      <c r="L25" s="38">
        <f t="shared" si="4"/>
        <v>225410.44000000003</v>
      </c>
      <c r="M25" s="38">
        <f t="shared" si="4"/>
        <v>348123.27</v>
      </c>
      <c r="N25" s="38">
        <f t="shared" si="4"/>
        <v>3100898.1799999997</v>
      </c>
    </row>
    <row r="27" spans="1:14" x14ac:dyDescent="0.3">
      <c r="A27" s="28" t="s">
        <v>209</v>
      </c>
    </row>
    <row r="28" spans="1:14" x14ac:dyDescent="0.3">
      <c r="A28" t="s">
        <v>225</v>
      </c>
      <c r="N28" s="35">
        <f>SUM(B28:F28)</f>
        <v>0</v>
      </c>
    </row>
    <row r="29" spans="1:14" x14ac:dyDescent="0.3">
      <c r="A29" t="s">
        <v>283</v>
      </c>
      <c r="B29" s="35">
        <v>8738.67</v>
      </c>
      <c r="C29" s="35">
        <v>7542.86</v>
      </c>
      <c r="D29" s="35">
        <v>8498.8799999999992</v>
      </c>
      <c r="E29" s="35">
        <v>8584.34</v>
      </c>
      <c r="F29" s="35">
        <v>9426.1</v>
      </c>
      <c r="G29" s="35">
        <v>8607.9500000000007</v>
      </c>
      <c r="H29" s="35">
        <v>8988.25</v>
      </c>
      <c r="I29" s="35">
        <v>9405.7800000000007</v>
      </c>
      <c r="J29" s="35">
        <v>485631.04</v>
      </c>
      <c r="K29" s="35">
        <v>84237.75</v>
      </c>
      <c r="L29" s="35">
        <v>67313.05</v>
      </c>
      <c r="M29" s="35">
        <v>141862.74</v>
      </c>
      <c r="N29" s="35">
        <f>SUM(B29:M29)</f>
        <v>848837.41</v>
      </c>
    </row>
    <row r="30" spans="1:14" x14ac:dyDescent="0.3">
      <c r="A30" t="s">
        <v>284</v>
      </c>
      <c r="B30" s="35">
        <v>1485.28</v>
      </c>
      <c r="C30" s="35">
        <v>1185.3900000000001</v>
      </c>
      <c r="D30" s="35">
        <v>1307.2</v>
      </c>
      <c r="E30" s="35">
        <v>729.18</v>
      </c>
      <c r="F30" s="35">
        <v>687.56</v>
      </c>
      <c r="G30" s="35">
        <v>659.18</v>
      </c>
      <c r="H30" s="35">
        <v>670.69</v>
      </c>
      <c r="I30" s="35">
        <v>720.28</v>
      </c>
      <c r="J30" s="35">
        <v>40654.26</v>
      </c>
      <c r="K30" s="35">
        <v>4895.8900000000003</v>
      </c>
      <c r="L30" s="35">
        <v>3981.11</v>
      </c>
      <c r="M30" s="35">
        <v>8758.99</v>
      </c>
      <c r="N30" s="35">
        <f t="shared" ref="N30:N35" si="5">SUM(B30:M30)</f>
        <v>65735.010000000009</v>
      </c>
    </row>
    <row r="31" spans="1:14" x14ac:dyDescent="0.3">
      <c r="A31" t="s">
        <v>285</v>
      </c>
      <c r="B31" s="35">
        <v>3064.68</v>
      </c>
      <c r="C31" s="35">
        <v>3064.68</v>
      </c>
      <c r="D31" s="35">
        <v>3580.55</v>
      </c>
      <c r="E31" s="35">
        <v>3064.68</v>
      </c>
      <c r="F31" s="35">
        <v>3064.68</v>
      </c>
      <c r="G31" s="35">
        <v>3064.68</v>
      </c>
      <c r="H31" s="35">
        <v>3064.68</v>
      </c>
      <c r="I31" s="35">
        <v>3064.68</v>
      </c>
      <c r="J31" s="35">
        <v>51772.85</v>
      </c>
      <c r="K31" s="35">
        <v>8213.7800000000007</v>
      </c>
      <c r="L31" s="35">
        <v>8596.84</v>
      </c>
      <c r="M31" s="35">
        <v>7382.35</v>
      </c>
      <c r="N31" s="35">
        <f t="shared" si="5"/>
        <v>100999.13</v>
      </c>
    </row>
    <row r="32" spans="1:14" x14ac:dyDescent="0.3">
      <c r="A32" t="s">
        <v>286</v>
      </c>
      <c r="B32" s="35">
        <v>216.98</v>
      </c>
      <c r="C32" s="35">
        <v>216.98</v>
      </c>
      <c r="D32" s="35">
        <v>216.98</v>
      </c>
      <c r="E32" s="35">
        <v>216.98</v>
      </c>
      <c r="F32" s="35">
        <v>216.98</v>
      </c>
      <c r="G32" s="35">
        <v>216.98</v>
      </c>
      <c r="H32" s="35">
        <v>216.98</v>
      </c>
      <c r="I32" s="35">
        <v>216.98</v>
      </c>
      <c r="J32" s="35">
        <v>216.98</v>
      </c>
      <c r="K32" s="35">
        <v>959.03</v>
      </c>
      <c r="L32" s="35">
        <v>993.66</v>
      </c>
      <c r="M32" s="35">
        <v>805.6</v>
      </c>
      <c r="N32" s="35">
        <f t="shared" si="5"/>
        <v>4711.1099999999997</v>
      </c>
    </row>
    <row r="33" spans="1:14" x14ac:dyDescent="0.3">
      <c r="A33" t="s">
        <v>332</v>
      </c>
      <c r="B33" s="35">
        <v>400</v>
      </c>
      <c r="C33" s="35">
        <v>400</v>
      </c>
      <c r="D33" s="35">
        <v>400</v>
      </c>
      <c r="E33" s="35">
        <v>400</v>
      </c>
      <c r="F33" s="35">
        <v>400</v>
      </c>
      <c r="G33" s="35">
        <v>200</v>
      </c>
      <c r="H33" s="35">
        <v>200</v>
      </c>
      <c r="I33" s="35">
        <v>200</v>
      </c>
      <c r="J33" s="35">
        <v>14455.95</v>
      </c>
      <c r="K33" s="35">
        <v>1779.8</v>
      </c>
      <c r="L33" s="35">
        <v>1831.57</v>
      </c>
      <c r="M33" s="35">
        <v>1308.04</v>
      </c>
      <c r="N33" s="35">
        <f t="shared" si="5"/>
        <v>21975.360000000001</v>
      </c>
    </row>
    <row r="34" spans="1:14" x14ac:dyDescent="0.3">
      <c r="A34" t="s">
        <v>287</v>
      </c>
      <c r="B34" s="35">
        <v>64.989999999999995</v>
      </c>
      <c r="C34" s="35">
        <v>64.989999999999995</v>
      </c>
      <c r="D34" s="35">
        <v>64.989999999999995</v>
      </c>
      <c r="E34" s="35">
        <v>419.95</v>
      </c>
      <c r="F34" s="35">
        <v>65.09</v>
      </c>
      <c r="G34" s="35">
        <f>64.99+50.66</f>
        <v>115.64999999999999</v>
      </c>
      <c r="H34" s="35">
        <f>64.99+66.92</f>
        <v>131.91</v>
      </c>
      <c r="I34" s="35">
        <v>64.989999999999995</v>
      </c>
      <c r="J34" s="35">
        <f>64.99+83.46+340</f>
        <v>488.45</v>
      </c>
      <c r="K34" s="35">
        <v>64.989999999999995</v>
      </c>
      <c r="L34" s="35">
        <v>64.989999999999995</v>
      </c>
      <c r="M34" s="35">
        <f>-7.65+510</f>
        <v>502.35</v>
      </c>
      <c r="N34" s="35">
        <f>SUM(B34:M34)</f>
        <v>2113.34</v>
      </c>
    </row>
    <row r="35" spans="1:14" x14ac:dyDescent="0.3">
      <c r="A35" t="s">
        <v>246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11412.18</v>
      </c>
      <c r="K35" s="35">
        <v>1250</v>
      </c>
      <c r="L35" s="35">
        <v>1250</v>
      </c>
      <c r="M35" s="35">
        <v>1250</v>
      </c>
      <c r="N35" s="70">
        <f t="shared" si="5"/>
        <v>15162.18</v>
      </c>
    </row>
    <row r="36" spans="1:14" x14ac:dyDescent="0.3">
      <c r="A36" s="28" t="s">
        <v>233</v>
      </c>
      <c r="B36" s="37">
        <f t="shared" ref="B36:M36" si="6">SUM(B29:B35)</f>
        <v>13970.6</v>
      </c>
      <c r="C36" s="37">
        <f t="shared" si="6"/>
        <v>12474.9</v>
      </c>
      <c r="D36" s="37">
        <f t="shared" si="6"/>
        <v>14068.6</v>
      </c>
      <c r="E36" s="37">
        <f t="shared" si="6"/>
        <v>13415.130000000001</v>
      </c>
      <c r="F36" s="37">
        <f t="shared" si="6"/>
        <v>13860.41</v>
      </c>
      <c r="G36" s="37">
        <f t="shared" si="6"/>
        <v>12864.44</v>
      </c>
      <c r="H36" s="37">
        <f t="shared" si="6"/>
        <v>13272.51</v>
      </c>
      <c r="I36" s="37">
        <f t="shared" si="6"/>
        <v>13672.710000000001</v>
      </c>
      <c r="J36" s="37">
        <f t="shared" ref="J36:L36" si="7">SUM(J29:J35)</f>
        <v>604631.70999999985</v>
      </c>
      <c r="K36" s="37">
        <f t="shared" si="7"/>
        <v>101401.24</v>
      </c>
      <c r="L36" s="37">
        <f t="shared" si="7"/>
        <v>84031.220000000016</v>
      </c>
      <c r="M36" s="37">
        <f t="shared" si="6"/>
        <v>161870.07</v>
      </c>
      <c r="N36" s="37">
        <f>SUM(N29:N35)</f>
        <v>1059533.54</v>
      </c>
    </row>
    <row r="37" spans="1:14" x14ac:dyDescent="0.3">
      <c r="A37" t="s">
        <v>61</v>
      </c>
    </row>
    <row r="38" spans="1:14" x14ac:dyDescent="0.3">
      <c r="A38" s="28" t="s">
        <v>288</v>
      </c>
    </row>
    <row r="39" spans="1:14" x14ac:dyDescent="0.3">
      <c r="A39" t="s">
        <v>234</v>
      </c>
      <c r="B39" s="35">
        <f t="shared" ref="B39:G39" si="8">25000+12500</f>
        <v>37500</v>
      </c>
      <c r="C39" s="35">
        <f t="shared" si="8"/>
        <v>37500</v>
      </c>
      <c r="D39" s="35">
        <f t="shared" si="8"/>
        <v>37500</v>
      </c>
      <c r="E39" s="35">
        <f t="shared" si="8"/>
        <v>37500</v>
      </c>
      <c r="F39" s="35">
        <f t="shared" si="8"/>
        <v>37500</v>
      </c>
      <c r="G39" s="35">
        <f t="shared" si="8"/>
        <v>37500</v>
      </c>
      <c r="H39" s="35">
        <f t="shared" ref="H39:M39" si="9">25000+12500</f>
        <v>37500</v>
      </c>
      <c r="I39" s="35">
        <f t="shared" si="9"/>
        <v>37500</v>
      </c>
      <c r="J39" s="35">
        <f t="shared" si="9"/>
        <v>37500</v>
      </c>
      <c r="K39" s="35">
        <f t="shared" si="9"/>
        <v>37500</v>
      </c>
      <c r="L39" s="35">
        <f t="shared" si="9"/>
        <v>37500</v>
      </c>
      <c r="M39" s="35">
        <f t="shared" si="9"/>
        <v>37500</v>
      </c>
      <c r="N39" s="35">
        <f>SUM(B39:M39)</f>
        <v>450000</v>
      </c>
    </row>
    <row r="40" spans="1:14" x14ac:dyDescent="0.3">
      <c r="A40" t="s">
        <v>289</v>
      </c>
      <c r="B40" s="35">
        <v>8518.2800000000007</v>
      </c>
      <c r="C40" s="35">
        <v>5856.39</v>
      </c>
      <c r="D40" s="35">
        <v>8346.2199999999993</v>
      </c>
      <c r="E40" s="35">
        <v>4857.8599999999997</v>
      </c>
      <c r="F40" s="35">
        <f>5661.41+210.04</f>
        <v>5871.45</v>
      </c>
      <c r="G40" s="35">
        <v>5979.18</v>
      </c>
      <c r="H40" s="35">
        <v>7652.61</v>
      </c>
      <c r="I40" s="35">
        <v>7388.57</v>
      </c>
      <c r="J40" s="35">
        <v>7702.5</v>
      </c>
      <c r="K40" s="35">
        <f>7137.19+152.4</f>
        <v>7289.5899999999992</v>
      </c>
      <c r="L40" s="35">
        <v>7249.21</v>
      </c>
      <c r="M40" s="35">
        <v>6010.63</v>
      </c>
      <c r="N40" s="35">
        <f>SUM(B40:M40)</f>
        <v>82722.490000000005</v>
      </c>
    </row>
    <row r="41" spans="1:14" x14ac:dyDescent="0.3">
      <c r="A41" t="s">
        <v>290</v>
      </c>
      <c r="B41" s="35">
        <v>150</v>
      </c>
      <c r="C41" s="35">
        <v>150</v>
      </c>
      <c r="D41" s="35">
        <v>150</v>
      </c>
      <c r="E41" s="35">
        <v>150</v>
      </c>
      <c r="F41" s="35">
        <v>150</v>
      </c>
      <c r="G41" s="35">
        <v>150</v>
      </c>
      <c r="H41" s="35">
        <v>150</v>
      </c>
      <c r="I41" s="35">
        <v>150</v>
      </c>
      <c r="J41" s="35">
        <v>150</v>
      </c>
      <c r="K41" s="35">
        <v>150</v>
      </c>
      <c r="L41" s="35">
        <v>150</v>
      </c>
      <c r="M41" s="35">
        <v>150</v>
      </c>
      <c r="N41" s="35">
        <f t="shared" ref="N41:N53" si="10">SUM(B41:M41)</f>
        <v>1800</v>
      </c>
    </row>
    <row r="42" spans="1:14" x14ac:dyDescent="0.3">
      <c r="A42" t="s">
        <v>445</v>
      </c>
      <c r="B42" s="35">
        <v>3575</v>
      </c>
      <c r="C42" s="35">
        <v>0</v>
      </c>
      <c r="D42" s="35">
        <v>1210</v>
      </c>
      <c r="E42" s="35">
        <v>1875</v>
      </c>
      <c r="F42" s="35">
        <v>0</v>
      </c>
      <c r="G42" s="35">
        <v>3844.35</v>
      </c>
      <c r="H42" s="35">
        <v>5810</v>
      </c>
      <c r="I42" s="35">
        <v>3409.85</v>
      </c>
      <c r="J42" s="35">
        <v>0</v>
      </c>
      <c r="K42" s="35">
        <v>7190</v>
      </c>
      <c r="L42" s="35">
        <v>2095</v>
      </c>
      <c r="M42" s="35">
        <v>0</v>
      </c>
      <c r="N42" s="35">
        <f t="shared" si="10"/>
        <v>29009.200000000001</v>
      </c>
    </row>
    <row r="43" spans="1:14" x14ac:dyDescent="0.3">
      <c r="A43" t="s">
        <v>291</v>
      </c>
      <c r="B43" s="35">
        <v>959.14</v>
      </c>
      <c r="C43" s="35">
        <v>519.59</v>
      </c>
      <c r="D43" s="35">
        <v>1411.26</v>
      </c>
      <c r="E43" s="35">
        <v>2829.73</v>
      </c>
      <c r="F43" s="35">
        <v>1685.25</v>
      </c>
      <c r="G43" s="35">
        <v>10130.58</v>
      </c>
      <c r="H43" s="35">
        <v>1273.76</v>
      </c>
      <c r="I43" s="35">
        <v>6783.81</v>
      </c>
      <c r="J43" s="35">
        <f>2446.62-1505</f>
        <v>941.61999999999989</v>
      </c>
      <c r="K43" s="35">
        <v>9829.01</v>
      </c>
      <c r="L43" s="35">
        <v>1402.74</v>
      </c>
      <c r="M43" s="35">
        <v>8264.5400000000009</v>
      </c>
      <c r="N43" s="35">
        <f t="shared" si="10"/>
        <v>46031.03</v>
      </c>
    </row>
    <row r="44" spans="1:14" x14ac:dyDescent="0.3">
      <c r="A44" t="s">
        <v>239</v>
      </c>
      <c r="B44" s="35">
        <v>5394.18</v>
      </c>
      <c r="C44" s="35">
        <v>5394.18</v>
      </c>
      <c r="D44" s="35">
        <v>5394.18</v>
      </c>
      <c r="E44" s="35">
        <v>5394.18</v>
      </c>
      <c r="F44" s="35">
        <v>5394.18</v>
      </c>
      <c r="G44" s="35">
        <v>5394.18</v>
      </c>
      <c r="H44" s="35">
        <v>5019.7700000000004</v>
      </c>
      <c r="I44" s="35">
        <v>5471.33</v>
      </c>
      <c r="J44" s="35">
        <v>5019.7700000000004</v>
      </c>
      <c r="K44" s="35">
        <v>5019.7700000000004</v>
      </c>
      <c r="L44" s="35">
        <v>5019.76</v>
      </c>
      <c r="M44" s="35">
        <v>5019.76</v>
      </c>
      <c r="N44" s="35">
        <f t="shared" si="10"/>
        <v>62935.24000000002</v>
      </c>
    </row>
    <row r="45" spans="1:14" x14ac:dyDescent="0.3">
      <c r="A45" t="s">
        <v>240</v>
      </c>
      <c r="B45" s="35">
        <v>1568.56</v>
      </c>
      <c r="C45" s="35">
        <v>2423.8000000000002</v>
      </c>
      <c r="D45" s="35">
        <v>2122.8000000000002</v>
      </c>
      <c r="E45" s="35">
        <v>2200</v>
      </c>
      <c r="F45" s="35">
        <v>-1041.1199999999999</v>
      </c>
      <c r="G45" s="35">
        <v>2297.7600000000002</v>
      </c>
      <c r="H45" s="35">
        <v>1026.78</v>
      </c>
      <c r="I45" s="35">
        <v>603.67999999999995</v>
      </c>
      <c r="J45" s="35">
        <v>603.67999999999995</v>
      </c>
      <c r="K45" s="35">
        <v>605.98</v>
      </c>
      <c r="L45" s="35">
        <v>606.07000000000005</v>
      </c>
      <c r="M45" s="35">
        <v>1351.56</v>
      </c>
      <c r="N45" s="35">
        <f t="shared" si="10"/>
        <v>14369.55</v>
      </c>
    </row>
    <row r="46" spans="1:14" x14ac:dyDescent="0.3">
      <c r="A46" t="s">
        <v>238</v>
      </c>
      <c r="B46" s="35">
        <v>18020.830000000002</v>
      </c>
      <c r="C46" s="35">
        <v>18020.84</v>
      </c>
      <c r="D46" s="35">
        <v>18020.84</v>
      </c>
      <c r="E46" s="35">
        <v>18020.82</v>
      </c>
      <c r="F46" s="35">
        <v>18020.830000000002</v>
      </c>
      <c r="G46" s="35">
        <v>4868.74</v>
      </c>
      <c r="H46" s="35">
        <v>18020.830000000002</v>
      </c>
      <c r="I46" s="35">
        <v>18020.84</v>
      </c>
      <c r="J46" s="35">
        <v>18020.84</v>
      </c>
      <c r="K46" s="35">
        <v>18020.84</v>
      </c>
      <c r="L46" s="35">
        <v>25576.66</v>
      </c>
      <c r="M46" s="35">
        <v>25051.66</v>
      </c>
      <c r="N46" s="35">
        <f t="shared" si="10"/>
        <v>217684.57</v>
      </c>
    </row>
    <row r="47" spans="1:14" x14ac:dyDescent="0.3">
      <c r="A47" t="s">
        <v>241</v>
      </c>
      <c r="B47" s="35">
        <v>5.49</v>
      </c>
      <c r="C47" s="35">
        <v>0</v>
      </c>
      <c r="D47" s="35">
        <v>100.81</v>
      </c>
      <c r="E47" s="35">
        <v>0</v>
      </c>
      <c r="F47" s="35">
        <v>46.17</v>
      </c>
      <c r="G47" s="35">
        <v>0</v>
      </c>
      <c r="H47" s="35">
        <v>0</v>
      </c>
      <c r="I47" s="35">
        <v>0</v>
      </c>
      <c r="J47" s="35">
        <v>35.520000000000003</v>
      </c>
      <c r="K47" s="35">
        <v>84.43</v>
      </c>
      <c r="L47" s="35">
        <v>73.95</v>
      </c>
      <c r="M47" s="35">
        <v>51.99</v>
      </c>
      <c r="N47" s="35">
        <f t="shared" si="10"/>
        <v>398.36</v>
      </c>
    </row>
    <row r="48" spans="1:14" x14ac:dyDescent="0.3">
      <c r="A48" t="s">
        <v>248</v>
      </c>
      <c r="B48" s="35">
        <v>7320.8</v>
      </c>
      <c r="C48" s="35">
        <v>7321.95</v>
      </c>
      <c r="D48" s="35">
        <v>6956.8</v>
      </c>
      <c r="E48" s="35">
        <v>7611.52</v>
      </c>
      <c r="F48" s="35">
        <v>7241.42</v>
      </c>
      <c r="G48" s="35">
        <v>7612.47</v>
      </c>
      <c r="H48" s="35">
        <v>6608</v>
      </c>
      <c r="I48" s="35">
        <v>7367.7</v>
      </c>
      <c r="J48" s="35">
        <v>6608.09</v>
      </c>
      <c r="K48" s="35">
        <v>7337.47</v>
      </c>
      <c r="L48" s="35">
        <v>8150.65</v>
      </c>
      <c r="M48" s="35">
        <v>7372.89</v>
      </c>
      <c r="N48" s="35">
        <f t="shared" si="10"/>
        <v>87509.759999999995</v>
      </c>
    </row>
    <row r="49" spans="1:14" x14ac:dyDescent="0.3">
      <c r="A49" t="s">
        <v>242</v>
      </c>
      <c r="B49" s="35">
        <v>649.54999999999995</v>
      </c>
      <c r="C49" s="35">
        <v>160.78</v>
      </c>
      <c r="D49" s="35">
        <v>278.7</v>
      </c>
      <c r="E49" s="35">
        <v>536.80999999999995</v>
      </c>
      <c r="F49" s="35">
        <v>160.78</v>
      </c>
      <c r="G49" s="35">
        <v>160.78</v>
      </c>
      <c r="H49" s="35">
        <v>436.05</v>
      </c>
      <c r="I49" s="35">
        <v>686.41</v>
      </c>
      <c r="J49" s="35">
        <v>235.54</v>
      </c>
      <c r="K49" s="35">
        <v>416.41</v>
      </c>
      <c r="L49" s="35">
        <v>347.74</v>
      </c>
      <c r="M49" s="35">
        <v>382.08</v>
      </c>
      <c r="N49" s="35">
        <f t="shared" si="10"/>
        <v>4451.6299999999992</v>
      </c>
    </row>
    <row r="50" spans="1:14" x14ac:dyDescent="0.3">
      <c r="A50" t="s">
        <v>292</v>
      </c>
      <c r="B50" s="35">
        <v>9962.11</v>
      </c>
      <c r="C50" s="35">
        <v>10391.68</v>
      </c>
      <c r="D50" s="35">
        <v>10391.68</v>
      </c>
      <c r="E50" s="35">
        <v>10391.68</v>
      </c>
      <c r="F50" s="35">
        <v>10581.56</v>
      </c>
      <c r="G50" s="35">
        <v>10811.59</v>
      </c>
      <c r="H50" s="35">
        <v>10493.31</v>
      </c>
      <c r="I50" s="35">
        <v>10587.39</v>
      </c>
      <c r="J50" s="35">
        <v>10587.39</v>
      </c>
      <c r="K50" s="35">
        <v>10587.39</v>
      </c>
      <c r="L50" s="35">
        <v>10723.34</v>
      </c>
      <c r="M50" s="35">
        <v>10672.37</v>
      </c>
      <c r="N50" s="35">
        <f t="shared" si="10"/>
        <v>126181.48999999999</v>
      </c>
    </row>
    <row r="51" spans="1:14" x14ac:dyDescent="0.3">
      <c r="A51" t="s">
        <v>295</v>
      </c>
      <c r="B51" s="35">
        <v>1351.56</v>
      </c>
      <c r="C51" s="35">
        <v>1938.84</v>
      </c>
      <c r="D51" s="35">
        <v>1938.84</v>
      </c>
      <c r="E51" s="35">
        <v>1937.28</v>
      </c>
      <c r="F51" s="35">
        <v>1939.84</v>
      </c>
      <c r="G51" s="35">
        <v>1568.58</v>
      </c>
      <c r="H51" s="35">
        <v>836.4</v>
      </c>
      <c r="I51" s="35">
        <v>1730.97</v>
      </c>
      <c r="J51" s="35">
        <v>1819.66</v>
      </c>
      <c r="K51" s="35">
        <v>1490.62</v>
      </c>
      <c r="L51" s="35">
        <v>1490.6</v>
      </c>
      <c r="M51" s="35">
        <v>745.02</v>
      </c>
      <c r="N51" s="35">
        <f t="shared" si="10"/>
        <v>18788.209999999995</v>
      </c>
    </row>
    <row r="52" spans="1:14" x14ac:dyDescent="0.3">
      <c r="A52" t="s">
        <v>262</v>
      </c>
      <c r="B52" s="35">
        <v>1018.09</v>
      </c>
      <c r="C52" s="35">
        <v>1018.09</v>
      </c>
      <c r="D52" s="35">
        <v>1018.09</v>
      </c>
      <c r="E52" s="35">
        <v>1049.5999999999999</v>
      </c>
      <c r="F52" s="35">
        <v>316.17</v>
      </c>
      <c r="G52" s="35">
        <v>236.46</v>
      </c>
      <c r="H52" s="35">
        <v>2820.43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f t="shared" si="10"/>
        <v>7476.93</v>
      </c>
    </row>
    <row r="53" spans="1:14" x14ac:dyDescent="0.3">
      <c r="A53" t="s">
        <v>387</v>
      </c>
      <c r="B53" s="35">
        <v>0</v>
      </c>
      <c r="C53" s="35">
        <v>0</v>
      </c>
      <c r="D53" s="35">
        <v>0</v>
      </c>
      <c r="E53" s="35">
        <v>0</v>
      </c>
      <c r="F53" s="35">
        <v>920.12</v>
      </c>
      <c r="G53" s="35">
        <v>3023.66</v>
      </c>
      <c r="H53" s="35">
        <v>560.84</v>
      </c>
      <c r="I53" s="35">
        <v>560.86</v>
      </c>
      <c r="J53" s="35">
        <v>1884.49</v>
      </c>
      <c r="K53" s="35">
        <v>1014.56</v>
      </c>
      <c r="L53" s="35">
        <v>1174.83</v>
      </c>
      <c r="M53" s="35">
        <v>1057.06</v>
      </c>
      <c r="N53" s="70">
        <f t="shared" si="10"/>
        <v>10196.419999999998</v>
      </c>
    </row>
    <row r="54" spans="1:14" x14ac:dyDescent="0.3">
      <c r="A54" s="28" t="s">
        <v>334</v>
      </c>
      <c r="B54" s="37">
        <f t="shared" ref="B54:F54" si="11">SUM(B39:B53)</f>
        <v>95993.59</v>
      </c>
      <c r="C54" s="37">
        <f t="shared" si="11"/>
        <v>90696.139999999985</v>
      </c>
      <c r="D54" s="37">
        <f t="shared" si="11"/>
        <v>94840.22</v>
      </c>
      <c r="E54" s="37">
        <f t="shared" si="11"/>
        <v>94354.48000000001</v>
      </c>
      <c r="F54" s="37">
        <f t="shared" si="11"/>
        <v>88786.64999999998</v>
      </c>
      <c r="G54" s="37">
        <f t="shared" ref="G54:M54" si="12">SUM(G39:G53)</f>
        <v>93578.330000000016</v>
      </c>
      <c r="H54" s="37">
        <f t="shared" si="12"/>
        <v>98208.779999999984</v>
      </c>
      <c r="I54" s="37">
        <f t="shared" si="12"/>
        <v>100261.41</v>
      </c>
      <c r="J54" s="37">
        <f t="shared" si="12"/>
        <v>91109.1</v>
      </c>
      <c r="K54" s="37">
        <f t="shared" si="12"/>
        <v>106536.06999999998</v>
      </c>
      <c r="L54" s="37">
        <f t="shared" ref="L54" si="13">SUM(L39:L53)</f>
        <v>101560.55</v>
      </c>
      <c r="M54" s="37">
        <f t="shared" si="12"/>
        <v>103629.56</v>
      </c>
      <c r="N54" s="37">
        <f>SUM(N39:N53)</f>
        <v>1159554.8799999999</v>
      </c>
    </row>
    <row r="56" spans="1:14" x14ac:dyDescent="0.3">
      <c r="A56" s="28" t="s">
        <v>293</v>
      </c>
    </row>
    <row r="57" spans="1:14" x14ac:dyDescent="0.3">
      <c r="A57" t="s">
        <v>251</v>
      </c>
      <c r="B57" s="35">
        <v>231.6</v>
      </c>
      <c r="C57" s="35">
        <v>181.9</v>
      </c>
      <c r="D57" s="35">
        <v>151.94999999999999</v>
      </c>
      <c r="E57" s="35">
        <v>135.54</v>
      </c>
      <c r="F57" s="35">
        <v>147.36000000000001</v>
      </c>
      <c r="G57" s="35">
        <v>135.63999999999999</v>
      </c>
      <c r="H57" s="35">
        <v>141.44999999999999</v>
      </c>
      <c r="I57" s="35">
        <v>154.02000000000001</v>
      </c>
      <c r="J57" s="35">
        <v>129.82</v>
      </c>
      <c r="K57" s="35">
        <v>140.52000000000001</v>
      </c>
      <c r="L57" s="35">
        <v>154.94999999999999</v>
      </c>
      <c r="M57" s="35">
        <v>125.3</v>
      </c>
      <c r="N57" s="35">
        <f>SUM(B57:M57)</f>
        <v>1830.05</v>
      </c>
    </row>
    <row r="58" spans="1:14" x14ac:dyDescent="0.3">
      <c r="A58" t="s">
        <v>252</v>
      </c>
      <c r="B58" s="35">
        <v>763.06</v>
      </c>
      <c r="C58" s="35">
        <v>700.02</v>
      </c>
      <c r="D58" s="35">
        <v>701.8</v>
      </c>
      <c r="E58" s="35">
        <v>709.3</v>
      </c>
      <c r="F58" s="35">
        <v>754.79</v>
      </c>
      <c r="G58" s="35">
        <v>696.33</v>
      </c>
      <c r="H58" s="35">
        <v>758.24</v>
      </c>
      <c r="I58" s="35">
        <v>745.68</v>
      </c>
      <c r="J58" s="35">
        <v>728.84</v>
      </c>
      <c r="K58" s="35">
        <v>821.1</v>
      </c>
      <c r="L58" s="35">
        <v>696.83</v>
      </c>
      <c r="M58" s="35">
        <v>676.24</v>
      </c>
      <c r="N58" s="35">
        <f t="shared" ref="N58:N70" si="14">SUM(B58:M58)</f>
        <v>8752.2300000000014</v>
      </c>
    </row>
    <row r="59" spans="1:14" x14ac:dyDescent="0.3">
      <c r="A59" t="s">
        <v>294</v>
      </c>
      <c r="B59" s="35">
        <v>0</v>
      </c>
      <c r="C59" s="35">
        <v>0</v>
      </c>
      <c r="D59" s="35">
        <v>0</v>
      </c>
      <c r="E59" s="35">
        <v>300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5010.59</v>
      </c>
      <c r="N59" s="35">
        <f t="shared" si="14"/>
        <v>5310.59</v>
      </c>
    </row>
    <row r="60" spans="1:14" x14ac:dyDescent="0.3">
      <c r="A60" t="s">
        <v>306</v>
      </c>
      <c r="B60" s="35">
        <v>0</v>
      </c>
      <c r="C60" s="35">
        <v>1250</v>
      </c>
      <c r="D60" s="35">
        <v>0</v>
      </c>
      <c r="E60" s="35">
        <v>0</v>
      </c>
      <c r="F60" s="35">
        <v>0</v>
      </c>
      <c r="G60" s="35">
        <v>0</v>
      </c>
      <c r="H60" s="35">
        <v>4000</v>
      </c>
      <c r="I60" s="35">
        <v>0</v>
      </c>
      <c r="J60" s="35">
        <v>23420.78</v>
      </c>
      <c r="K60" s="35">
        <v>14264.01</v>
      </c>
      <c r="L60" s="35">
        <v>18684.79</v>
      </c>
      <c r="M60" s="35">
        <v>924</v>
      </c>
      <c r="N60" s="35">
        <f t="shared" si="14"/>
        <v>62543.58</v>
      </c>
    </row>
    <row r="61" spans="1:14" x14ac:dyDescent="0.3">
      <c r="A61" t="s">
        <v>362</v>
      </c>
      <c r="B61" s="35">
        <v>0</v>
      </c>
      <c r="C61" s="35">
        <v>0</v>
      </c>
      <c r="D61" s="35">
        <v>0</v>
      </c>
      <c r="E61" s="35">
        <v>0</v>
      </c>
      <c r="F61" s="35">
        <v>0</v>
      </c>
      <c r="G61" s="35">
        <v>-5776.56</v>
      </c>
      <c r="H61" s="35">
        <v>0</v>
      </c>
      <c r="I61" s="35">
        <v>0</v>
      </c>
      <c r="J61" s="35">
        <v>5375.34</v>
      </c>
      <c r="K61" s="35">
        <v>0</v>
      </c>
      <c r="L61" s="35">
        <v>1187.3599999999999</v>
      </c>
      <c r="M61" s="35">
        <v>16062.38</v>
      </c>
      <c r="N61" s="35">
        <f t="shared" si="14"/>
        <v>16848.52</v>
      </c>
    </row>
    <row r="62" spans="1:14" x14ac:dyDescent="0.3">
      <c r="A62" t="s">
        <v>388</v>
      </c>
      <c r="B62" s="35">
        <v>5000</v>
      </c>
      <c r="C62" s="35">
        <v>5000</v>
      </c>
      <c r="D62" s="35">
        <v>5000</v>
      </c>
      <c r="E62" s="35">
        <v>5000</v>
      </c>
      <c r="F62" s="35">
        <v>5000</v>
      </c>
      <c r="G62" s="35">
        <v>4000</v>
      </c>
      <c r="H62" s="35">
        <v>4000</v>
      </c>
      <c r="I62" s="35">
        <v>4000</v>
      </c>
      <c r="J62" s="35">
        <v>4000</v>
      </c>
      <c r="K62" s="35">
        <v>4000</v>
      </c>
      <c r="L62" s="35">
        <v>4000</v>
      </c>
      <c r="M62" s="35">
        <v>1400</v>
      </c>
      <c r="N62" s="35">
        <f>SUM(B62:M62)</f>
        <v>50400</v>
      </c>
    </row>
    <row r="63" spans="1:14" x14ac:dyDescent="0.3">
      <c r="A63" t="s">
        <v>361</v>
      </c>
      <c r="B63" s="35">
        <v>2250</v>
      </c>
      <c r="C63" s="35">
        <v>2250</v>
      </c>
      <c r="D63" s="35">
        <v>2250</v>
      </c>
      <c r="E63" s="35">
        <v>2250</v>
      </c>
      <c r="F63" s="35">
        <v>2250</v>
      </c>
      <c r="G63" s="35">
        <v>2250</v>
      </c>
      <c r="H63" s="35">
        <v>2250</v>
      </c>
      <c r="I63" s="35">
        <v>2250</v>
      </c>
      <c r="J63" s="35">
        <v>2250</v>
      </c>
      <c r="K63" s="35">
        <v>2250</v>
      </c>
      <c r="L63" s="35">
        <v>2250</v>
      </c>
      <c r="M63" s="35">
        <v>2250</v>
      </c>
      <c r="N63" s="35">
        <f t="shared" si="14"/>
        <v>27000</v>
      </c>
    </row>
    <row r="64" spans="1:14" x14ac:dyDescent="0.3">
      <c r="A64" t="s">
        <v>389</v>
      </c>
      <c r="B64" s="35">
        <v>791.67</v>
      </c>
      <c r="C64" s="35">
        <v>791.67</v>
      </c>
      <c r="D64" s="35">
        <v>791.67</v>
      </c>
      <c r="E64" s="35">
        <v>791.67</v>
      </c>
      <c r="F64" s="35">
        <f>8791.67-8000.01</f>
        <v>791.65999999999985</v>
      </c>
      <c r="G64" s="35">
        <v>666.67</v>
      </c>
      <c r="H64" s="35">
        <v>666.67</v>
      </c>
      <c r="I64" s="35">
        <v>666.67</v>
      </c>
      <c r="J64" s="35">
        <v>666.67</v>
      </c>
      <c r="K64" s="35">
        <v>666.67</v>
      </c>
      <c r="L64" s="35">
        <v>666.67</v>
      </c>
      <c r="M64" s="35">
        <v>666.67</v>
      </c>
      <c r="N64" s="35">
        <f t="shared" si="14"/>
        <v>8625.0299999999988</v>
      </c>
    </row>
    <row r="65" spans="1:15" x14ac:dyDescent="0.3">
      <c r="A65" t="s">
        <v>400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9838.1299999999992</v>
      </c>
      <c r="K65" s="35">
        <v>1780.88</v>
      </c>
      <c r="L65" s="35">
        <v>163.13</v>
      </c>
      <c r="M65" s="35">
        <v>1196.04</v>
      </c>
      <c r="N65" s="35">
        <f t="shared" si="14"/>
        <v>12978.179999999997</v>
      </c>
    </row>
    <row r="66" spans="1:15" x14ac:dyDescent="0.3">
      <c r="A66" t="s">
        <v>475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6690.94</v>
      </c>
      <c r="K66" s="35">
        <v>0</v>
      </c>
      <c r="L66" s="35">
        <v>0</v>
      </c>
      <c r="M66" s="35">
        <v>0</v>
      </c>
      <c r="N66" s="35">
        <f t="shared" ref="N66:N67" si="15">SUM(B66:M66)</f>
        <v>6690.94</v>
      </c>
    </row>
    <row r="67" spans="1:15" x14ac:dyDescent="0.3">
      <c r="A67" t="s">
        <v>257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6496.38</v>
      </c>
      <c r="K67" s="35">
        <v>721.32</v>
      </c>
      <c r="L67" s="35">
        <v>721.32</v>
      </c>
      <c r="M67" s="35">
        <v>721.32</v>
      </c>
      <c r="N67" s="35">
        <f t="shared" si="15"/>
        <v>8660.34</v>
      </c>
    </row>
    <row r="68" spans="1:15" x14ac:dyDescent="0.3">
      <c r="A68" t="s">
        <v>253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899.5</v>
      </c>
      <c r="L68" s="35">
        <v>5881.56</v>
      </c>
      <c r="M68" s="35">
        <v>2451.5100000000002</v>
      </c>
      <c r="N68" s="35">
        <f t="shared" ref="N68" si="16">SUM(B68:M68)</f>
        <v>9232.57</v>
      </c>
    </row>
    <row r="69" spans="1:15" x14ac:dyDescent="0.3">
      <c r="A69" t="s">
        <v>390</v>
      </c>
      <c r="B69" s="35">
        <v>109</v>
      </c>
      <c r="C69" s="35">
        <v>0</v>
      </c>
      <c r="D69" s="35">
        <v>40</v>
      </c>
      <c r="E69" s="35">
        <v>0</v>
      </c>
      <c r="F69" s="35">
        <v>0</v>
      </c>
      <c r="G69" s="35">
        <v>0</v>
      </c>
      <c r="H69" s="35">
        <v>0</v>
      </c>
      <c r="I69" s="35">
        <v>300</v>
      </c>
      <c r="J69" s="35">
        <v>0</v>
      </c>
      <c r="K69" s="35">
        <v>0</v>
      </c>
      <c r="L69" s="35">
        <v>0</v>
      </c>
      <c r="M69" s="35">
        <v>0</v>
      </c>
      <c r="N69" s="35">
        <f t="shared" si="14"/>
        <v>449</v>
      </c>
    </row>
    <row r="70" spans="1:15" x14ac:dyDescent="0.3">
      <c r="A70" t="s">
        <v>256</v>
      </c>
      <c r="B70" s="35">
        <v>225</v>
      </c>
      <c r="C70" s="35">
        <v>352.5</v>
      </c>
      <c r="D70" s="35">
        <v>0</v>
      </c>
      <c r="E70" s="35">
        <v>0</v>
      </c>
      <c r="F70" s="35">
        <v>0</v>
      </c>
      <c r="G70" s="35">
        <v>650</v>
      </c>
      <c r="H70" s="35">
        <v>0</v>
      </c>
      <c r="I70" s="35">
        <v>1250</v>
      </c>
      <c r="J70" s="35">
        <v>0</v>
      </c>
      <c r="K70" s="35">
        <v>0</v>
      </c>
      <c r="L70" s="35">
        <v>0</v>
      </c>
      <c r="M70" s="35">
        <v>0</v>
      </c>
      <c r="N70" s="70">
        <f t="shared" si="14"/>
        <v>2477.5</v>
      </c>
    </row>
    <row r="71" spans="1:15" x14ac:dyDescent="0.3">
      <c r="A71" s="28" t="s">
        <v>296</v>
      </c>
      <c r="B71" s="37">
        <f>SUM(B57:B70)</f>
        <v>9370.33</v>
      </c>
      <c r="C71" s="37">
        <f t="shared" ref="C71:F71" si="17">SUM(C57:C70)</f>
        <v>10526.09</v>
      </c>
      <c r="D71" s="37">
        <f t="shared" si="17"/>
        <v>8935.42</v>
      </c>
      <c r="E71" s="37">
        <f>SUM(E57:E70)</f>
        <v>9186.51</v>
      </c>
      <c r="F71" s="37">
        <f t="shared" si="17"/>
        <v>8943.81</v>
      </c>
      <c r="G71" s="37">
        <f t="shared" ref="G71:M71" si="18">SUM(G57:G70)</f>
        <v>2622.08</v>
      </c>
      <c r="H71" s="37">
        <f t="shared" si="18"/>
        <v>11816.36</v>
      </c>
      <c r="I71" s="37">
        <f t="shared" si="18"/>
        <v>9366.369999999999</v>
      </c>
      <c r="J71" s="37">
        <f t="shared" si="18"/>
        <v>59596.899999999994</v>
      </c>
      <c r="K71" s="37">
        <f t="shared" si="18"/>
        <v>25544</v>
      </c>
      <c r="L71" s="37">
        <f t="shared" ref="L71" si="19">SUM(L57:L70)</f>
        <v>34406.61</v>
      </c>
      <c r="M71" s="37">
        <f t="shared" si="18"/>
        <v>31484.049999999996</v>
      </c>
      <c r="N71" s="37">
        <f>SUM(N57:N70)</f>
        <v>221798.53</v>
      </c>
    </row>
    <row r="72" spans="1:15" x14ac:dyDescent="0.3">
      <c r="A72" t="s">
        <v>245</v>
      </c>
    </row>
    <row r="73" spans="1:15" ht="15" thickBot="1" x14ac:dyDescent="0.35">
      <c r="A73" s="28" t="s">
        <v>210</v>
      </c>
      <c r="B73" s="38">
        <f t="shared" ref="B73:F73" si="20">B36+B54+B71</f>
        <v>119334.52</v>
      </c>
      <c r="C73" s="38">
        <f t="shared" si="20"/>
        <v>113697.12999999998</v>
      </c>
      <c r="D73" s="38">
        <f t="shared" si="20"/>
        <v>117844.24</v>
      </c>
      <c r="E73" s="38">
        <f t="shared" si="20"/>
        <v>116956.12000000001</v>
      </c>
      <c r="F73" s="38">
        <f t="shared" si="20"/>
        <v>111590.86999999998</v>
      </c>
      <c r="G73" s="38">
        <f t="shared" ref="G73:M73" si="21">G36+G54+G71</f>
        <v>109064.85000000002</v>
      </c>
      <c r="H73" s="38">
        <f t="shared" si="21"/>
        <v>123297.64999999998</v>
      </c>
      <c r="I73" s="38">
        <f t="shared" si="21"/>
        <v>123300.49</v>
      </c>
      <c r="J73" s="38">
        <f t="shared" si="21"/>
        <v>755337.70999999985</v>
      </c>
      <c r="K73" s="38">
        <f t="shared" si="21"/>
        <v>233481.31</v>
      </c>
      <c r="L73" s="38">
        <f t="shared" ref="L73" si="22">L36+L54+L71</f>
        <v>219998.38</v>
      </c>
      <c r="M73" s="38">
        <f t="shared" si="21"/>
        <v>296983.67999999999</v>
      </c>
      <c r="N73" s="38">
        <f>N36+N54+N71</f>
        <v>2440886.9499999997</v>
      </c>
    </row>
    <row r="75" spans="1:15" x14ac:dyDescent="0.3">
      <c r="A75" s="28" t="s">
        <v>297</v>
      </c>
    </row>
    <row r="76" spans="1:15" x14ac:dyDescent="0.3">
      <c r="A76" t="s">
        <v>298</v>
      </c>
      <c r="B76" s="35">
        <v>12500</v>
      </c>
      <c r="C76" s="35">
        <v>12500</v>
      </c>
      <c r="D76" s="35">
        <v>12500</v>
      </c>
      <c r="E76" s="35">
        <v>12500</v>
      </c>
      <c r="F76" s="35">
        <v>12500</v>
      </c>
      <c r="G76" s="35">
        <v>12500</v>
      </c>
      <c r="H76" s="35">
        <v>12500</v>
      </c>
      <c r="I76" s="35">
        <v>12500</v>
      </c>
      <c r="J76" s="35">
        <v>12500</v>
      </c>
      <c r="K76" s="35">
        <v>12500</v>
      </c>
      <c r="L76" s="35">
        <v>12500</v>
      </c>
      <c r="M76" s="35">
        <v>12500</v>
      </c>
      <c r="N76" s="35">
        <f>SUM(B76:M76)</f>
        <v>150000</v>
      </c>
    </row>
    <row r="77" spans="1:15" x14ac:dyDescent="0.3">
      <c r="A77" t="s">
        <v>270</v>
      </c>
      <c r="B77" s="35">
        <v>2109.7199999999998</v>
      </c>
      <c r="C77" s="35">
        <v>2488.89</v>
      </c>
      <c r="D77" s="35">
        <v>2770.21</v>
      </c>
      <c r="E77" s="35">
        <v>2666.67</v>
      </c>
      <c r="F77" s="35">
        <v>2755.56</v>
      </c>
      <c r="G77" s="35">
        <v>2666.67</v>
      </c>
      <c r="H77" s="35">
        <v>2755.56</v>
      </c>
      <c r="I77" s="35">
        <v>3000</v>
      </c>
      <c r="J77" s="35">
        <v>3333.33</v>
      </c>
      <c r="K77" s="35">
        <v>3444.44</v>
      </c>
      <c r="L77" s="35">
        <v>3333.33</v>
      </c>
      <c r="M77" s="35">
        <v>3461.11</v>
      </c>
      <c r="N77" s="35">
        <f>SUM(B77:M77)</f>
        <v>34785.49</v>
      </c>
    </row>
    <row r="78" spans="1:15" x14ac:dyDescent="0.3">
      <c r="A78" s="28" t="s">
        <v>299</v>
      </c>
      <c r="B78" s="37">
        <f>SUM(B76:B77)</f>
        <v>14609.72</v>
      </c>
      <c r="C78" s="37">
        <f t="shared" ref="C78:F78" si="23">SUM(C76:C77)</f>
        <v>14988.89</v>
      </c>
      <c r="D78" s="37">
        <f t="shared" si="23"/>
        <v>15270.21</v>
      </c>
      <c r="E78" s="37">
        <f>SUM(E76:E77)</f>
        <v>15166.67</v>
      </c>
      <c r="F78" s="37">
        <f t="shared" si="23"/>
        <v>15255.56</v>
      </c>
      <c r="G78" s="37">
        <f t="shared" ref="G78:M78" si="24">SUM(G76:G77)</f>
        <v>15166.67</v>
      </c>
      <c r="H78" s="37">
        <f t="shared" si="24"/>
        <v>15255.56</v>
      </c>
      <c r="I78" s="37">
        <f t="shared" si="24"/>
        <v>15500</v>
      </c>
      <c r="J78" s="37">
        <f t="shared" si="24"/>
        <v>15833.33</v>
      </c>
      <c r="K78" s="37">
        <f t="shared" si="24"/>
        <v>15944.44</v>
      </c>
      <c r="L78" s="37">
        <f t="shared" ref="L78" si="25">SUM(L76:L77)</f>
        <v>15833.33</v>
      </c>
      <c r="M78" s="37">
        <f t="shared" si="24"/>
        <v>15961.11</v>
      </c>
      <c r="N78" s="37">
        <f>SUM(N76:N77)</f>
        <v>184785.49</v>
      </c>
    </row>
    <row r="80" spans="1:15" ht="15" thickBot="1" x14ac:dyDescent="0.35">
      <c r="A80" s="28" t="s">
        <v>300</v>
      </c>
      <c r="B80" s="39">
        <f t="shared" ref="B80:N80" si="26">B25-B73+B78</f>
        <v>-1834.0699999999943</v>
      </c>
      <c r="C80" s="39">
        <f t="shared" si="26"/>
        <v>8655.3500000000204</v>
      </c>
      <c r="D80" s="39">
        <f t="shared" si="26"/>
        <v>83095.280000000028</v>
      </c>
      <c r="E80" s="39">
        <f t="shared" si="26"/>
        <v>32817.569999999978</v>
      </c>
      <c r="F80" s="39">
        <f t="shared" si="26"/>
        <v>177775.43</v>
      </c>
      <c r="G80" s="39">
        <f t="shared" si="26"/>
        <v>87212.919999999955</v>
      </c>
      <c r="H80" s="39">
        <f t="shared" si="26"/>
        <v>115696.81999999999</v>
      </c>
      <c r="I80" s="39">
        <f t="shared" si="26"/>
        <v>116860.41000000002</v>
      </c>
      <c r="J80" s="39">
        <f t="shared" ref="J80:L80" si="27">J25-J73+J78</f>
        <v>2404.5800000002328</v>
      </c>
      <c r="K80" s="39">
        <f t="shared" si="27"/>
        <v>133766.34000000003</v>
      </c>
      <c r="L80" s="39">
        <f t="shared" si="27"/>
        <v>21245.390000000029</v>
      </c>
      <c r="M80" s="39">
        <f t="shared" si="26"/>
        <v>67100.700000000026</v>
      </c>
      <c r="N80" s="39">
        <f t="shared" si="26"/>
        <v>844796.72</v>
      </c>
      <c r="O80"/>
    </row>
    <row r="81" spans="2:14" ht="15" thickTop="1" x14ac:dyDescent="0.3"/>
    <row r="82" spans="2:14" x14ac:dyDescent="0.3">
      <c r="B82" s="35">
        <v>-1834.07</v>
      </c>
      <c r="C82" s="35">
        <v>8655.35</v>
      </c>
      <c r="D82" s="35">
        <v>83095.28</v>
      </c>
      <c r="E82" s="35">
        <v>32817.57</v>
      </c>
      <c r="F82" s="35">
        <v>177775.43</v>
      </c>
      <c r="G82" s="35">
        <v>87212.92</v>
      </c>
      <c r="H82" s="35">
        <v>115696.82</v>
      </c>
      <c r="I82" s="35">
        <v>116860.41</v>
      </c>
      <c r="J82" s="35">
        <v>2404.58</v>
      </c>
      <c r="K82" s="35">
        <v>133766.34</v>
      </c>
      <c r="L82" s="35">
        <v>21245.39</v>
      </c>
      <c r="M82" s="35">
        <v>67100.7</v>
      </c>
      <c r="N82" s="35">
        <v>844796.72</v>
      </c>
    </row>
    <row r="83" spans="2:14" x14ac:dyDescent="0.3">
      <c r="B83" s="71">
        <f>ROUND((B82-B80),2)</f>
        <v>0</v>
      </c>
      <c r="C83" s="71">
        <f t="shared" ref="C83:N83" si="28">ROUND((C82-C80),2)</f>
        <v>0</v>
      </c>
      <c r="D83" s="71">
        <f t="shared" si="28"/>
        <v>0</v>
      </c>
      <c r="E83" s="71">
        <f t="shared" si="28"/>
        <v>0</v>
      </c>
      <c r="F83" s="71">
        <f t="shared" si="28"/>
        <v>0</v>
      </c>
      <c r="G83" s="71">
        <f t="shared" ref="G83:J83" si="29">ROUND((G82-G80),2)</f>
        <v>0</v>
      </c>
      <c r="H83" s="71">
        <f t="shared" si="29"/>
        <v>0</v>
      </c>
      <c r="I83" s="71">
        <f t="shared" si="29"/>
        <v>0</v>
      </c>
      <c r="J83" s="71">
        <f t="shared" si="29"/>
        <v>0</v>
      </c>
      <c r="K83" s="71">
        <f>ROUND((K82-K80),2)</f>
        <v>0</v>
      </c>
      <c r="L83" s="71">
        <f>ROUND((L82-L80),2)</f>
        <v>0</v>
      </c>
      <c r="M83" s="71">
        <f>ROUND((M82-M80),2)</f>
        <v>0</v>
      </c>
      <c r="N83" s="71">
        <f t="shared" si="28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Q81"/>
  <sheetViews>
    <sheetView view="pageBreakPreview" zoomScaleNormal="100" zoomScaleSheetLayoutView="100" workbookViewId="0">
      <pane ySplit="6" topLeftCell="A7" activePane="bottomLeft" state="frozen"/>
      <selection activeCell="C20" sqref="C20"/>
      <selection pane="bottomLeft" activeCell="L14" sqref="L14"/>
    </sheetView>
  </sheetViews>
  <sheetFormatPr defaultRowHeight="14.4" x14ac:dyDescent="0.3"/>
  <cols>
    <col min="1" max="1" width="41.33203125" bestFit="1" customWidth="1"/>
    <col min="2" max="2" width="14.109375" style="35" bestFit="1" customWidth="1"/>
    <col min="3" max="3" width="14.44140625" style="35" customWidth="1"/>
    <col min="4" max="4" width="15.109375" style="35" bestFit="1" customWidth="1"/>
    <col min="5" max="6" width="14.6640625" style="35" bestFit="1" customWidth="1"/>
    <col min="7" max="13" width="15.33203125" style="35" bestFit="1" customWidth="1"/>
    <col min="14" max="14" width="15.44140625" style="35" bestFit="1" customWidth="1"/>
    <col min="15" max="15" width="8.88671875" style="35"/>
    <col min="16" max="17" width="11.5546875" bestFit="1" customWidth="1"/>
  </cols>
  <sheetData>
    <row r="1" spans="1:14" x14ac:dyDescent="0.3">
      <c r="A1" s="176" t="s">
        <v>336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7" spans="1:14" x14ac:dyDescent="0.3">
      <c r="A7" s="28" t="s">
        <v>62</v>
      </c>
    </row>
    <row r="8" spans="1:14" x14ac:dyDescent="0.3">
      <c r="A8" t="s">
        <v>308</v>
      </c>
      <c r="B8" s="35">
        <v>1259181.27</v>
      </c>
      <c r="C8" s="35">
        <v>3842825.02</v>
      </c>
      <c r="D8" s="35">
        <v>6380777.25</v>
      </c>
      <c r="E8" s="35">
        <v>7202321.2999999998</v>
      </c>
      <c r="F8" s="35">
        <v>8920930.5899999999</v>
      </c>
      <c r="G8" s="35">
        <v>10255749.529999999</v>
      </c>
      <c r="H8" s="35">
        <v>11726637.460000001</v>
      </c>
      <c r="I8" s="35">
        <v>8087466.0499999998</v>
      </c>
      <c r="J8" s="35">
        <v>266656.84999999998</v>
      </c>
      <c r="K8" s="35">
        <v>7236728.5999999996</v>
      </c>
      <c r="L8" s="35">
        <f>6653510.11-618</f>
        <v>6652892.1100000003</v>
      </c>
      <c r="M8" s="35">
        <v>5914854.3899999997</v>
      </c>
      <c r="N8" s="35">
        <f>SUM(B8:M8)</f>
        <v>77747020.420000002</v>
      </c>
    </row>
    <row r="9" spans="1:14" x14ac:dyDescent="0.3">
      <c r="A9" t="s">
        <v>316</v>
      </c>
      <c r="B9" s="35">
        <v>236007.94</v>
      </c>
      <c r="C9" s="35">
        <v>379397.28</v>
      </c>
      <c r="D9" s="35">
        <v>545988.51</v>
      </c>
      <c r="E9" s="35">
        <v>295631.26</v>
      </c>
      <c r="F9" s="35">
        <v>282253.62</v>
      </c>
      <c r="G9" s="35">
        <v>179199.65</v>
      </c>
      <c r="H9" s="35">
        <v>396933.84</v>
      </c>
      <c r="I9" s="35">
        <v>338757.5</v>
      </c>
      <c r="J9" s="35">
        <v>109856.97</v>
      </c>
      <c r="K9" s="35">
        <v>773074.05</v>
      </c>
      <c r="L9" s="35">
        <f>762136.19-149.8</f>
        <v>761986.3899999999</v>
      </c>
      <c r="M9" s="35">
        <v>623086.11</v>
      </c>
      <c r="N9" s="35">
        <f t="shared" ref="N9:N16" si="0">SUM(B9:M9)</f>
        <v>4922173.12</v>
      </c>
    </row>
    <row r="10" spans="1:14" x14ac:dyDescent="0.3">
      <c r="A10" t="s">
        <v>317</v>
      </c>
      <c r="B10" s="35">
        <v>61335.59</v>
      </c>
      <c r="C10" s="35">
        <v>17413.54</v>
      </c>
      <c r="D10" s="35">
        <v>27676.38</v>
      </c>
      <c r="E10" s="35">
        <v>53826.559999999998</v>
      </c>
      <c r="F10" s="35">
        <v>37554.74</v>
      </c>
      <c r="G10" s="35">
        <v>14783.41</v>
      </c>
      <c r="H10" s="35">
        <v>26033.31</v>
      </c>
      <c r="I10" s="35">
        <v>26281.37</v>
      </c>
      <c r="J10" s="35">
        <v>10456.31</v>
      </c>
      <c r="K10" s="35">
        <v>57531.01</v>
      </c>
      <c r="L10" s="35">
        <v>9296.07</v>
      </c>
      <c r="M10" s="35">
        <v>119326.73</v>
      </c>
      <c r="N10" s="35">
        <f t="shared" si="0"/>
        <v>461515.02</v>
      </c>
    </row>
    <row r="11" spans="1:14" x14ac:dyDescent="0.3">
      <c r="A11" t="s">
        <v>379</v>
      </c>
      <c r="B11" s="35">
        <v>0</v>
      </c>
      <c r="C11" s="35">
        <v>0</v>
      </c>
      <c r="D11" s="35">
        <v>0</v>
      </c>
      <c r="E11" s="35">
        <v>0</v>
      </c>
      <c r="F11" s="35">
        <v>3310.3</v>
      </c>
      <c r="G11" s="35">
        <v>3202.6</v>
      </c>
      <c r="H11" s="35">
        <v>6393.6</v>
      </c>
      <c r="I11" s="35">
        <v>4616.5</v>
      </c>
      <c r="J11" s="35">
        <v>3544.5</v>
      </c>
      <c r="K11" s="35">
        <v>0</v>
      </c>
      <c r="L11" s="35">
        <v>0</v>
      </c>
      <c r="M11" s="35">
        <v>17609.3</v>
      </c>
      <c r="N11" s="35">
        <f t="shared" si="0"/>
        <v>38676.800000000003</v>
      </c>
    </row>
    <row r="12" spans="1:14" x14ac:dyDescent="0.3">
      <c r="A12" t="s">
        <v>458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1473</v>
      </c>
      <c r="I12" s="35">
        <v>132.97999999999999</v>
      </c>
      <c r="J12" s="35">
        <v>433.84</v>
      </c>
      <c r="K12" s="35">
        <v>0</v>
      </c>
      <c r="L12" s="35">
        <v>2013.81</v>
      </c>
      <c r="M12" s="35">
        <v>586.38</v>
      </c>
      <c r="N12" s="35">
        <f t="shared" ref="N12" si="1">SUM(B12:M12)</f>
        <v>4640.01</v>
      </c>
    </row>
    <row r="13" spans="1:14" x14ac:dyDescent="0.3">
      <c r="A13" t="s">
        <v>318</v>
      </c>
      <c r="B13" s="35">
        <v>658</v>
      </c>
      <c r="C13" s="35">
        <v>1919</v>
      </c>
      <c r="D13" s="35">
        <v>477</v>
      </c>
      <c r="E13" s="35">
        <v>592.5</v>
      </c>
      <c r="F13" s="35">
        <f>1227.5</f>
        <v>1227.5</v>
      </c>
      <c r="G13" s="35">
        <v>268</v>
      </c>
      <c r="H13" s="35">
        <v>1265</v>
      </c>
      <c r="I13" s="35">
        <v>175</v>
      </c>
      <c r="J13" s="35">
        <v>180</v>
      </c>
      <c r="K13" s="35">
        <v>0</v>
      </c>
      <c r="L13" s="35">
        <v>7165.12</v>
      </c>
      <c r="M13" s="35">
        <v>5068</v>
      </c>
      <c r="N13" s="35">
        <f t="shared" si="0"/>
        <v>18995.12</v>
      </c>
    </row>
    <row r="14" spans="1:14" x14ac:dyDescent="0.3">
      <c r="A14" t="s">
        <v>319</v>
      </c>
      <c r="B14" s="35">
        <v>59302.75</v>
      </c>
      <c r="C14" s="35">
        <v>176078.5</v>
      </c>
      <c r="D14" s="35">
        <v>289922.25</v>
      </c>
      <c r="E14" s="35">
        <v>364686</v>
      </c>
      <c r="F14" s="35">
        <v>414150.75</v>
      </c>
      <c r="G14" s="35">
        <v>437152</v>
      </c>
      <c r="H14" s="35">
        <v>559001.75</v>
      </c>
      <c r="I14" s="35">
        <v>304574.5</v>
      </c>
      <c r="J14" s="35">
        <v>0</v>
      </c>
      <c r="K14" s="35">
        <v>382210.5</v>
      </c>
      <c r="L14" s="35">
        <f>298757.5-23983</f>
        <v>274774.5</v>
      </c>
      <c r="M14" s="35">
        <v>256829.5</v>
      </c>
      <c r="N14" s="35">
        <f t="shared" si="0"/>
        <v>3518683</v>
      </c>
    </row>
    <row r="15" spans="1:14" x14ac:dyDescent="0.3">
      <c r="A15" t="s">
        <v>320</v>
      </c>
      <c r="B15" s="35">
        <v>-878.76</v>
      </c>
      <c r="C15" s="35">
        <v>0</v>
      </c>
      <c r="D15" s="35">
        <v>0</v>
      </c>
      <c r="E15" s="35">
        <v>-5916</v>
      </c>
      <c r="F15" s="35">
        <v>0</v>
      </c>
      <c r="G15" s="35">
        <v>-50883.01</v>
      </c>
      <c r="H15" s="35">
        <v>-5495.2</v>
      </c>
      <c r="I15" s="35">
        <f>-11900</f>
        <v>-11900</v>
      </c>
      <c r="J15" s="35">
        <v>0</v>
      </c>
      <c r="K15" s="35">
        <v>0</v>
      </c>
      <c r="L15" s="35">
        <v>0</v>
      </c>
      <c r="M15" s="35">
        <v>0</v>
      </c>
      <c r="N15" s="35">
        <f t="shared" ref="N15" si="2">SUM(B15:M15)</f>
        <v>-75072.97</v>
      </c>
    </row>
    <row r="16" spans="1:14" x14ac:dyDescent="0.3">
      <c r="A16" t="s">
        <v>457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-22111.39</v>
      </c>
      <c r="J16" s="35">
        <v>0</v>
      </c>
      <c r="K16" s="35">
        <v>0</v>
      </c>
      <c r="L16" s="35">
        <v>0</v>
      </c>
      <c r="M16" s="35">
        <v>-190.2</v>
      </c>
      <c r="N16" s="35">
        <f t="shared" si="0"/>
        <v>-22301.59</v>
      </c>
    </row>
    <row r="17" spans="1:14" x14ac:dyDescent="0.3">
      <c r="A17" s="28" t="s">
        <v>223</v>
      </c>
      <c r="B17" s="37">
        <f t="shared" ref="B17:N17" si="3">SUM(B8:B16)</f>
        <v>1615606.79</v>
      </c>
      <c r="C17" s="37">
        <f t="shared" si="3"/>
        <v>4417633.34</v>
      </c>
      <c r="D17" s="37">
        <f t="shared" si="3"/>
        <v>7244841.3899999997</v>
      </c>
      <c r="E17" s="37">
        <f t="shared" si="3"/>
        <v>7911141.6199999992</v>
      </c>
      <c r="F17" s="37">
        <f t="shared" si="3"/>
        <v>9659427.5</v>
      </c>
      <c r="G17" s="37">
        <f t="shared" si="3"/>
        <v>10839472.18</v>
      </c>
      <c r="H17" s="37">
        <f t="shared" si="3"/>
        <v>12712242.760000002</v>
      </c>
      <c r="I17" s="37">
        <f t="shared" ref="I17:L17" si="4">SUM(I8:I16)</f>
        <v>8727992.5099999998</v>
      </c>
      <c r="J17" s="37">
        <f t="shared" si="4"/>
        <v>391128.47</v>
      </c>
      <c r="K17" s="37">
        <f t="shared" si="4"/>
        <v>8449544.1600000001</v>
      </c>
      <c r="L17" s="37">
        <f t="shared" si="4"/>
        <v>7708128</v>
      </c>
      <c r="M17" s="37">
        <f t="shared" si="3"/>
        <v>6937170.21</v>
      </c>
      <c r="N17" s="37">
        <f t="shared" si="3"/>
        <v>86614328.930000007</v>
      </c>
    </row>
    <row r="19" spans="1:14" x14ac:dyDescent="0.3">
      <c r="A19" s="28" t="s">
        <v>279</v>
      </c>
      <c r="N19" s="35">
        <f t="shared" ref="N19:N35" si="5">SUM(B19:M19)</f>
        <v>0</v>
      </c>
    </row>
    <row r="20" spans="1:14" x14ac:dyDescent="0.3">
      <c r="A20" t="s">
        <v>309</v>
      </c>
      <c r="B20" s="35">
        <v>1244716.24</v>
      </c>
      <c r="C20" s="35">
        <v>3821573.32</v>
      </c>
      <c r="D20" s="35">
        <v>6368245.5999999996</v>
      </c>
      <c r="E20" s="35">
        <v>7185367.1200000001</v>
      </c>
      <c r="F20" s="35">
        <v>8899243.3100000005</v>
      </c>
      <c r="G20" s="35">
        <v>10161491.619999999</v>
      </c>
      <c r="H20" s="35">
        <v>11745247.939999999</v>
      </c>
      <c r="I20" s="35">
        <v>8041925.0800000001</v>
      </c>
      <c r="J20" s="35">
        <v>234231.39</v>
      </c>
      <c r="K20" s="35">
        <v>7164460.5999999996</v>
      </c>
      <c r="L20" s="35">
        <v>6581297.7800000003</v>
      </c>
      <c r="M20" s="35">
        <v>5870948.3899999997</v>
      </c>
      <c r="N20" s="35">
        <f t="shared" si="5"/>
        <v>77318748.390000001</v>
      </c>
    </row>
    <row r="21" spans="1:14" x14ac:dyDescent="0.3">
      <c r="A21" t="s">
        <v>310</v>
      </c>
      <c r="B21" s="35">
        <v>220469.8</v>
      </c>
      <c r="C21" s="35">
        <v>359444.27</v>
      </c>
      <c r="D21" s="35">
        <v>528840.88</v>
      </c>
      <c r="E21" s="35">
        <v>274773.03000000003</v>
      </c>
      <c r="F21" s="35">
        <v>264969.81</v>
      </c>
      <c r="G21" s="35">
        <v>165716.99</v>
      </c>
      <c r="H21" s="35">
        <v>318210.40000000002</v>
      </c>
      <c r="I21" s="35">
        <v>291283.06</v>
      </c>
      <c r="J21" s="35">
        <v>95156.13</v>
      </c>
      <c r="K21" s="35">
        <v>746391.81</v>
      </c>
      <c r="L21" s="35">
        <v>733624.47</v>
      </c>
      <c r="M21" s="35">
        <v>599161.54</v>
      </c>
      <c r="N21" s="35">
        <f t="shared" si="5"/>
        <v>4598042.1900000004</v>
      </c>
    </row>
    <row r="22" spans="1:14" x14ac:dyDescent="0.3">
      <c r="A22" t="s">
        <v>311</v>
      </c>
      <c r="B22" s="35">
        <v>58837.5</v>
      </c>
      <c r="C22" s="35">
        <v>16027.01</v>
      </c>
      <c r="D22" s="35">
        <v>26000.22</v>
      </c>
      <c r="E22" s="35">
        <v>51375.17</v>
      </c>
      <c r="F22" s="35">
        <v>34978.86</v>
      </c>
      <c r="G22" s="35">
        <v>13617.04</v>
      </c>
      <c r="H22" s="35">
        <v>23523.99</v>
      </c>
      <c r="I22" s="35">
        <v>22699.23</v>
      </c>
      <c r="J22" s="35">
        <v>9288.81</v>
      </c>
      <c r="K22" s="35">
        <v>55962.09</v>
      </c>
      <c r="L22" s="35">
        <v>8451.02</v>
      </c>
      <c r="M22" s="35">
        <v>116740.04</v>
      </c>
      <c r="N22" s="35">
        <f t="shared" si="5"/>
        <v>437500.98000000004</v>
      </c>
    </row>
    <row r="23" spans="1:14" x14ac:dyDescent="0.3">
      <c r="A23" t="s">
        <v>380</v>
      </c>
      <c r="B23" s="35">
        <v>0</v>
      </c>
      <c r="C23" s="35">
        <v>0</v>
      </c>
      <c r="D23" s="35">
        <v>0</v>
      </c>
      <c r="E23" s="35">
        <v>0</v>
      </c>
      <c r="F23" s="35">
        <v>2079</v>
      </c>
      <c r="G23" s="35">
        <v>2011</v>
      </c>
      <c r="H23" s="35">
        <v>4004</v>
      </c>
      <c r="I23" s="35">
        <v>2894</v>
      </c>
      <c r="J23" s="35">
        <v>2154</v>
      </c>
      <c r="K23" s="35">
        <v>0</v>
      </c>
      <c r="L23" s="35">
        <v>0</v>
      </c>
      <c r="M23" s="35">
        <v>17656</v>
      </c>
      <c r="N23" s="35">
        <f t="shared" si="5"/>
        <v>30798</v>
      </c>
    </row>
    <row r="24" spans="1:14" x14ac:dyDescent="0.3">
      <c r="A24" t="s">
        <v>312</v>
      </c>
      <c r="B24" s="35">
        <v>658</v>
      </c>
      <c r="C24" s="35">
        <v>1919</v>
      </c>
      <c r="D24" s="35">
        <v>477</v>
      </c>
      <c r="E24" s="35">
        <v>592.5</v>
      </c>
      <c r="F24" s="35">
        <v>1227.5</v>
      </c>
      <c r="G24" s="35">
        <v>268</v>
      </c>
      <c r="H24" s="35">
        <v>1265</v>
      </c>
      <c r="I24" s="35">
        <v>175</v>
      </c>
      <c r="J24" s="35">
        <v>180</v>
      </c>
      <c r="K24" s="35">
        <v>0</v>
      </c>
      <c r="L24" s="35">
        <v>7165.12</v>
      </c>
      <c r="M24" s="35">
        <v>5068</v>
      </c>
      <c r="N24" s="35">
        <f t="shared" si="5"/>
        <v>18995.12</v>
      </c>
    </row>
    <row r="25" spans="1:14" x14ac:dyDescent="0.3">
      <c r="A25" t="s">
        <v>444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350</v>
      </c>
      <c r="I25" s="35">
        <v>132.93</v>
      </c>
      <c r="J25" s="35">
        <v>433.62</v>
      </c>
      <c r="K25" s="35">
        <v>0</v>
      </c>
      <c r="L25" s="35">
        <v>2013.62</v>
      </c>
      <c r="M25" s="35">
        <v>586.33000000000004</v>
      </c>
      <c r="N25" s="35">
        <f>SUM(B25:M25)</f>
        <v>3516.5</v>
      </c>
    </row>
    <row r="26" spans="1:14" x14ac:dyDescent="0.3">
      <c r="A26" t="s">
        <v>281</v>
      </c>
      <c r="B26" s="35">
        <v>19986.22</v>
      </c>
      <c r="C26" s="35">
        <v>12338.52</v>
      </c>
      <c r="D26" s="35">
        <v>39850.800000000003</v>
      </c>
      <c r="E26" s="35">
        <v>28631.47</v>
      </c>
      <c r="F26" s="35">
        <v>35548.99</v>
      </c>
      <c r="G26" s="35">
        <v>67302.78</v>
      </c>
      <c r="H26" s="35">
        <v>60835.25</v>
      </c>
      <c r="I26" s="35">
        <v>56171.75</v>
      </c>
      <c r="J26" s="35">
        <v>9266.6299999999992</v>
      </c>
      <c r="K26" s="35">
        <v>41962.28</v>
      </c>
      <c r="L26" s="35">
        <v>50487.98</v>
      </c>
      <c r="M26" s="35">
        <v>46830.64</v>
      </c>
      <c r="N26" s="35">
        <f t="shared" si="5"/>
        <v>469213.31000000006</v>
      </c>
    </row>
    <row r="27" spans="1:14" x14ac:dyDescent="0.3">
      <c r="A27" t="s">
        <v>313</v>
      </c>
      <c r="B27" s="35">
        <v>-3444.15</v>
      </c>
      <c r="C27" s="35">
        <v>79.5</v>
      </c>
      <c r="D27" s="35">
        <v>-574</v>
      </c>
      <c r="E27" s="35">
        <v>602.98</v>
      </c>
      <c r="F27" s="35">
        <v>-2955.7</v>
      </c>
      <c r="G27" s="35">
        <v>-1504.23</v>
      </c>
      <c r="H27" s="35">
        <v>-2531.09</v>
      </c>
      <c r="I27" s="35">
        <v>-5366.91</v>
      </c>
      <c r="J27" s="35">
        <v>20032.54</v>
      </c>
      <c r="K27" s="35">
        <v>441.51</v>
      </c>
      <c r="L27" s="35">
        <v>-77.849999999999994</v>
      </c>
      <c r="M27" s="35">
        <v>3674.05</v>
      </c>
      <c r="N27" s="35">
        <f t="shared" si="5"/>
        <v>8376.6500000000015</v>
      </c>
    </row>
    <row r="28" spans="1:14" x14ac:dyDescent="0.3">
      <c r="A28" t="s">
        <v>426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4018.23</v>
      </c>
      <c r="I28" s="35">
        <v>0</v>
      </c>
      <c r="J28" s="35">
        <v>-3033.23</v>
      </c>
      <c r="K28" s="35">
        <v>0</v>
      </c>
      <c r="L28" s="35">
        <v>0</v>
      </c>
      <c r="M28" s="35">
        <v>0</v>
      </c>
      <c r="N28" s="35">
        <f t="shared" si="5"/>
        <v>985</v>
      </c>
    </row>
    <row r="29" spans="1:14" x14ac:dyDescent="0.3">
      <c r="A29" t="s">
        <v>382</v>
      </c>
      <c r="B29" s="35">
        <v>0</v>
      </c>
      <c r="C29" s="35">
        <v>0</v>
      </c>
      <c r="D29" s="35">
        <v>0</v>
      </c>
      <c r="E29" s="35">
        <v>820.8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f t="shared" si="5"/>
        <v>820.8</v>
      </c>
    </row>
    <row r="30" spans="1:14" x14ac:dyDescent="0.3">
      <c r="A30" t="s">
        <v>383</v>
      </c>
      <c r="B30" s="35">
        <v>0</v>
      </c>
      <c r="C30" s="35">
        <v>1.92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f t="shared" si="5"/>
        <v>1.92</v>
      </c>
    </row>
    <row r="31" spans="1:14" x14ac:dyDescent="0.3">
      <c r="A31" t="s">
        <v>314</v>
      </c>
      <c r="B31" s="35">
        <v>720.74</v>
      </c>
      <c r="C31" s="35">
        <f>-1643.32</f>
        <v>-1643.32</v>
      </c>
      <c r="D31" s="35">
        <v>3077.78</v>
      </c>
      <c r="E31" s="35">
        <v>0</v>
      </c>
      <c r="F31" s="35">
        <f>-173.2</f>
        <v>-173.2</v>
      </c>
      <c r="G31" s="35">
        <v>1377.51</v>
      </c>
      <c r="H31" s="35">
        <v>0</v>
      </c>
      <c r="I31" s="35">
        <v>0</v>
      </c>
      <c r="J31" s="35">
        <v>0</v>
      </c>
      <c r="K31" s="35">
        <v>42</v>
      </c>
      <c r="L31" s="35">
        <v>383.88</v>
      </c>
      <c r="M31" s="35">
        <v>1117.83</v>
      </c>
      <c r="N31" s="35">
        <f t="shared" si="5"/>
        <v>4903.22</v>
      </c>
    </row>
    <row r="32" spans="1:14" x14ac:dyDescent="0.3">
      <c r="A32" t="s">
        <v>325</v>
      </c>
      <c r="B32" s="35">
        <v>0</v>
      </c>
      <c r="C32" s="35">
        <v>0</v>
      </c>
      <c r="D32" s="35">
        <v>-3.34</v>
      </c>
      <c r="E32" s="35">
        <v>0</v>
      </c>
      <c r="F32" s="35">
        <v>-38.909999999999997</v>
      </c>
      <c r="G32" s="35">
        <v>0</v>
      </c>
      <c r="H32" s="35">
        <v>-14.22</v>
      </c>
      <c r="I32" s="35">
        <v>81</v>
      </c>
      <c r="J32" s="35">
        <v>0</v>
      </c>
      <c r="K32" s="35">
        <v>0</v>
      </c>
      <c r="L32" s="35">
        <v>-22.15</v>
      </c>
      <c r="M32" s="35">
        <v>-8.6300000000000008</v>
      </c>
      <c r="N32" s="35">
        <f t="shared" si="5"/>
        <v>-6.2499999999999982</v>
      </c>
    </row>
    <row r="33" spans="1:17" x14ac:dyDescent="0.3">
      <c r="A33" t="s">
        <v>381</v>
      </c>
      <c r="B33" s="35">
        <v>0</v>
      </c>
      <c r="C33" s="35">
        <v>0</v>
      </c>
      <c r="D33" s="35">
        <v>0</v>
      </c>
      <c r="E33" s="35">
        <v>0</v>
      </c>
      <c r="F33" s="35">
        <v>-4.2</v>
      </c>
      <c r="G33" s="35">
        <v>0</v>
      </c>
      <c r="H33" s="35">
        <v>-74.81</v>
      </c>
      <c r="I33" s="35">
        <v>0</v>
      </c>
      <c r="J33" s="35">
        <v>0</v>
      </c>
      <c r="K33" s="35">
        <v>0</v>
      </c>
      <c r="L33" s="35">
        <v>32</v>
      </c>
      <c r="M33" s="35">
        <v>0</v>
      </c>
      <c r="N33" s="35">
        <f t="shared" si="5"/>
        <v>-47.010000000000005</v>
      </c>
    </row>
    <row r="34" spans="1:17" x14ac:dyDescent="0.3">
      <c r="A34" t="s">
        <v>335</v>
      </c>
      <c r="B34" s="35">
        <v>34120.78</v>
      </c>
      <c r="C34" s="35">
        <v>75014.87</v>
      </c>
      <c r="D34" s="35">
        <v>138492.9</v>
      </c>
      <c r="E34" s="35">
        <v>140698.1</v>
      </c>
      <c r="F34" s="35">
        <v>179668.82</v>
      </c>
      <c r="G34" s="35">
        <v>186806.24</v>
      </c>
      <c r="H34" s="35">
        <v>212480.24</v>
      </c>
      <c r="I34" s="35">
        <v>145987.63</v>
      </c>
      <c r="J34" s="35">
        <v>15830.18</v>
      </c>
      <c r="K34" s="35">
        <v>150449.95000000001</v>
      </c>
      <c r="L34" s="35">
        <v>144675.84</v>
      </c>
      <c r="M34" s="35">
        <v>117659.55</v>
      </c>
      <c r="N34" s="35">
        <f t="shared" si="5"/>
        <v>1541885.1</v>
      </c>
    </row>
    <row r="35" spans="1:17" x14ac:dyDescent="0.3">
      <c r="A35" t="s">
        <v>315</v>
      </c>
      <c r="B35" s="35">
        <v>38830.42</v>
      </c>
      <c r="C35" s="35">
        <v>54101.21</v>
      </c>
      <c r="D35" s="35">
        <v>74590.929999999993</v>
      </c>
      <c r="E35" s="35">
        <v>87541.119999999995</v>
      </c>
      <c r="F35" s="35">
        <v>119335.27</v>
      </c>
      <c r="G35" s="35">
        <v>112054.49</v>
      </c>
      <c r="H35" s="35">
        <v>145061.98000000001</v>
      </c>
      <c r="I35" s="35">
        <v>93104.73</v>
      </c>
      <c r="J35" s="35">
        <v>4132.43</v>
      </c>
      <c r="K35" s="35">
        <v>75452.13</v>
      </c>
      <c r="L35" s="35">
        <v>53898.69</v>
      </c>
      <c r="M35" s="35">
        <v>37841.97</v>
      </c>
      <c r="N35" s="35">
        <f t="shared" si="5"/>
        <v>895945.37000000011</v>
      </c>
      <c r="P35" s="35"/>
      <c r="Q35" s="42"/>
    </row>
    <row r="36" spans="1:17" x14ac:dyDescent="0.3">
      <c r="A36" s="28" t="s">
        <v>282</v>
      </c>
      <c r="B36" s="37">
        <f t="shared" ref="B36:N36" si="6">SUM(B20:B35)</f>
        <v>1614895.55</v>
      </c>
      <c r="C36" s="37">
        <f t="shared" si="6"/>
        <v>4338856.2999999989</v>
      </c>
      <c r="D36" s="37">
        <f t="shared" si="6"/>
        <v>7178998.7699999996</v>
      </c>
      <c r="E36" s="37">
        <f t="shared" si="6"/>
        <v>7770402.29</v>
      </c>
      <c r="F36" s="37">
        <f t="shared" si="6"/>
        <v>9533879.5500000026</v>
      </c>
      <c r="G36" s="37">
        <f t="shared" si="6"/>
        <v>10709141.439999998</v>
      </c>
      <c r="H36" s="37">
        <f t="shared" si="6"/>
        <v>12512376.91</v>
      </c>
      <c r="I36" s="37">
        <f t="shared" ref="I36:L36" si="7">SUM(I20:I35)</f>
        <v>8649087.5000000019</v>
      </c>
      <c r="J36" s="37">
        <f t="shared" si="7"/>
        <v>387672.5</v>
      </c>
      <c r="K36" s="37">
        <f t="shared" si="7"/>
        <v>8235162.3700000001</v>
      </c>
      <c r="L36" s="37">
        <f t="shared" si="7"/>
        <v>7581930.4000000004</v>
      </c>
      <c r="M36" s="37">
        <f t="shared" si="6"/>
        <v>6817275.709999999</v>
      </c>
      <c r="N36" s="37">
        <f t="shared" si="6"/>
        <v>85329679.290000007</v>
      </c>
    </row>
    <row r="38" spans="1:17" ht="15" thickBot="1" x14ac:dyDescent="0.35">
      <c r="A38" s="28" t="s">
        <v>211</v>
      </c>
      <c r="B38" s="38">
        <f t="shared" ref="B38:H38" si="8">B17-B36</f>
        <v>711.23999999999069</v>
      </c>
      <c r="C38" s="38">
        <f t="shared" si="8"/>
        <v>78777.040000000969</v>
      </c>
      <c r="D38" s="38">
        <f t="shared" si="8"/>
        <v>65842.620000000112</v>
      </c>
      <c r="E38" s="38">
        <f t="shared" si="8"/>
        <v>140739.32999999914</v>
      </c>
      <c r="F38" s="38">
        <f t="shared" si="8"/>
        <v>125547.94999999739</v>
      </c>
      <c r="G38" s="38">
        <f t="shared" si="8"/>
        <v>130330.74000000209</v>
      </c>
      <c r="H38" s="38">
        <f t="shared" si="8"/>
        <v>199865.85000000149</v>
      </c>
      <c r="I38" s="38">
        <f t="shared" ref="I38" si="9">I17-I36</f>
        <v>78905.009999997914</v>
      </c>
      <c r="J38" s="38">
        <f>J17-J36</f>
        <v>3455.9699999999721</v>
      </c>
      <c r="K38" s="38">
        <f>K17-K36</f>
        <v>214381.79000000004</v>
      </c>
      <c r="L38" s="38">
        <f>L17-L36</f>
        <v>126197.59999999963</v>
      </c>
      <c r="M38" s="38">
        <f>M17-M36</f>
        <v>119894.50000000093</v>
      </c>
      <c r="N38" s="38">
        <f>N17-N36</f>
        <v>1284649.6400000006</v>
      </c>
    </row>
    <row r="40" spans="1:17" x14ac:dyDescent="0.3">
      <c r="A40" s="28" t="s">
        <v>209</v>
      </c>
    </row>
    <row r="41" spans="1:17" x14ac:dyDescent="0.3">
      <c r="A41" s="28"/>
    </row>
    <row r="42" spans="1:17" x14ac:dyDescent="0.3">
      <c r="A42" s="28" t="s">
        <v>476</v>
      </c>
    </row>
    <row r="43" spans="1:17" x14ac:dyDescent="0.3">
      <c r="A43" t="s">
        <v>477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469372.33</v>
      </c>
      <c r="K43" s="35">
        <v>69208.52</v>
      </c>
      <c r="L43" s="35">
        <v>55700.959999999999</v>
      </c>
      <c r="M43" s="35">
        <v>107677.89</v>
      </c>
      <c r="N43" s="35">
        <f t="shared" ref="N43:N48" si="10">SUM(B43:M43)</f>
        <v>701959.7</v>
      </c>
    </row>
    <row r="44" spans="1:17" x14ac:dyDescent="0.3">
      <c r="A44" t="s">
        <v>284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40004.019999999997</v>
      </c>
      <c r="K44" s="35">
        <v>4581.62</v>
      </c>
      <c r="L44" s="35">
        <v>3595.28</v>
      </c>
      <c r="M44" s="35">
        <v>7577.65</v>
      </c>
      <c r="N44" s="35">
        <f t="shared" si="10"/>
        <v>55758.57</v>
      </c>
    </row>
    <row r="45" spans="1:17" x14ac:dyDescent="0.3">
      <c r="A45" t="s">
        <v>478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26663.29</v>
      </c>
      <c r="K45" s="35">
        <v>3025.85</v>
      </c>
      <c r="L45" s="35">
        <v>3179.07</v>
      </c>
      <c r="M45" s="35">
        <v>3295.91</v>
      </c>
      <c r="N45" s="35">
        <f t="shared" si="10"/>
        <v>36164.119999999995</v>
      </c>
    </row>
    <row r="46" spans="1:17" x14ac:dyDescent="0.3">
      <c r="A46" t="s">
        <v>484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6794.01</v>
      </c>
      <c r="K46" s="35">
        <v>762.78</v>
      </c>
      <c r="L46" s="35">
        <v>776.63</v>
      </c>
      <c r="M46" s="35">
        <v>791.1</v>
      </c>
      <c r="N46" s="35">
        <f t="shared" si="10"/>
        <v>9124.52</v>
      </c>
    </row>
    <row r="47" spans="1:17" x14ac:dyDescent="0.3">
      <c r="A47" t="s">
        <v>479</v>
      </c>
      <c r="B47" s="35"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13656.46</v>
      </c>
      <c r="K47" s="35">
        <v>1399.01</v>
      </c>
      <c r="L47" s="35">
        <v>1469.63</v>
      </c>
      <c r="M47" s="35">
        <v>1782.72</v>
      </c>
      <c r="N47" s="35">
        <f t="shared" si="10"/>
        <v>18307.82</v>
      </c>
    </row>
    <row r="48" spans="1:17" x14ac:dyDescent="0.3">
      <c r="A48" t="s">
        <v>246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4564.87</v>
      </c>
      <c r="K48" s="35">
        <v>500</v>
      </c>
      <c r="L48" s="35">
        <v>500</v>
      </c>
      <c r="M48" s="35">
        <v>500</v>
      </c>
      <c r="N48" s="35">
        <f t="shared" si="10"/>
        <v>6064.87</v>
      </c>
    </row>
    <row r="49" spans="1:14" x14ac:dyDescent="0.3">
      <c r="A49" s="28" t="s">
        <v>334</v>
      </c>
      <c r="B49" s="37">
        <f t="shared" ref="B49:E49" si="11">SUM(B43:B48)</f>
        <v>0</v>
      </c>
      <c r="C49" s="37">
        <f t="shared" si="11"/>
        <v>0</v>
      </c>
      <c r="D49" s="37">
        <f t="shared" si="11"/>
        <v>0</v>
      </c>
      <c r="E49" s="37">
        <f t="shared" si="11"/>
        <v>0</v>
      </c>
      <c r="F49" s="37">
        <f>SUM(F43:F48)</f>
        <v>0</v>
      </c>
      <c r="G49" s="37">
        <f>SUM(G43:G48)</f>
        <v>0</v>
      </c>
      <c r="H49" s="37">
        <f t="shared" ref="H49:M49" si="12">SUM(H43:H48)</f>
        <v>0</v>
      </c>
      <c r="I49" s="37">
        <f t="shared" si="12"/>
        <v>0</v>
      </c>
      <c r="J49" s="37">
        <f t="shared" ref="J49:L49" si="13">SUM(J43:J48)</f>
        <v>561054.98</v>
      </c>
      <c r="K49" s="37">
        <f t="shared" si="13"/>
        <v>79477.78</v>
      </c>
      <c r="L49" s="37">
        <f t="shared" si="13"/>
        <v>65221.569999999992</v>
      </c>
      <c r="M49" s="37">
        <f t="shared" si="12"/>
        <v>121625.27</v>
      </c>
      <c r="N49" s="37">
        <f>SUM(N43:N48)</f>
        <v>827379.59999999986</v>
      </c>
    </row>
    <row r="50" spans="1:14" x14ac:dyDescent="0.3">
      <c r="A50" s="28"/>
    </row>
    <row r="51" spans="1:14" x14ac:dyDescent="0.3">
      <c r="A51" s="28" t="s">
        <v>288</v>
      </c>
    </row>
    <row r="52" spans="1:14" x14ac:dyDescent="0.3">
      <c r="A52" t="s">
        <v>234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45000</v>
      </c>
      <c r="K52" s="35">
        <v>5000</v>
      </c>
      <c r="L52" s="35">
        <v>5000</v>
      </c>
      <c r="M52" s="35">
        <v>5000</v>
      </c>
      <c r="N52" s="35">
        <f>SUM(B52:M52)</f>
        <v>60000</v>
      </c>
    </row>
    <row r="53" spans="1:14" x14ac:dyDescent="0.3">
      <c r="A53" t="s">
        <v>291</v>
      </c>
      <c r="B53" s="35">
        <v>838.82</v>
      </c>
      <c r="C53" s="35">
        <v>672.84</v>
      </c>
      <c r="D53" s="35">
        <v>0</v>
      </c>
      <c r="E53" s="35">
        <v>0</v>
      </c>
      <c r="F53" s="35">
        <v>0</v>
      </c>
      <c r="G53" s="35">
        <v>0</v>
      </c>
      <c r="H53" s="35">
        <v>1208.07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f>SUM(B53:M53)</f>
        <v>2719.73</v>
      </c>
    </row>
    <row r="54" spans="1:14" x14ac:dyDescent="0.3">
      <c r="A54" t="s">
        <v>238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4557.83</v>
      </c>
      <c r="K54" s="35">
        <v>502.34</v>
      </c>
      <c r="L54" s="35">
        <v>440.47</v>
      </c>
      <c r="M54" s="35">
        <v>440.47</v>
      </c>
      <c r="N54" s="35">
        <f>SUM(B54:M54)</f>
        <v>5941.1100000000006</v>
      </c>
    </row>
    <row r="55" spans="1:14" x14ac:dyDescent="0.3">
      <c r="A55" t="s">
        <v>292</v>
      </c>
      <c r="B55" s="35">
        <v>142.41999999999999</v>
      </c>
      <c r="C55" s="35">
        <v>418.29</v>
      </c>
      <c r="D55" s="35">
        <v>418.29</v>
      </c>
      <c r="E55" s="35">
        <v>418.29</v>
      </c>
      <c r="F55" s="35">
        <v>418.29</v>
      </c>
      <c r="G55" s="35">
        <v>418.29</v>
      </c>
      <c r="H55" s="35">
        <v>418.29</v>
      </c>
      <c r="I55" s="35">
        <v>418.29</v>
      </c>
      <c r="J55" s="35">
        <v>418.29</v>
      </c>
      <c r="K55" s="35">
        <v>418.29</v>
      </c>
      <c r="L55" s="35">
        <v>418.29</v>
      </c>
      <c r="M55" s="35">
        <v>418.29</v>
      </c>
      <c r="N55" s="35">
        <f>SUM(B55:M55)</f>
        <v>4743.6099999999997</v>
      </c>
    </row>
    <row r="56" spans="1:14" x14ac:dyDescent="0.3">
      <c r="A56" s="28" t="s">
        <v>334</v>
      </c>
      <c r="B56" s="37">
        <f t="shared" ref="B56:M56" si="14">SUM(B52:B55)</f>
        <v>981.24</v>
      </c>
      <c r="C56" s="37">
        <f t="shared" si="14"/>
        <v>1091.1300000000001</v>
      </c>
      <c r="D56" s="37">
        <f t="shared" si="14"/>
        <v>418.29</v>
      </c>
      <c r="E56" s="37">
        <f t="shared" si="14"/>
        <v>418.29</v>
      </c>
      <c r="F56" s="37">
        <f>SUM(F52:F55)</f>
        <v>418.29</v>
      </c>
      <c r="G56" s="37">
        <f>SUM(G52:G55)</f>
        <v>418.29</v>
      </c>
      <c r="H56" s="37">
        <f t="shared" ref="H56:L56" si="15">SUM(H52:H55)</f>
        <v>1626.36</v>
      </c>
      <c r="I56" s="37">
        <f t="shared" si="15"/>
        <v>418.29</v>
      </c>
      <c r="J56" s="37">
        <f t="shared" si="15"/>
        <v>49976.12</v>
      </c>
      <c r="K56" s="37">
        <f t="shared" si="15"/>
        <v>5920.63</v>
      </c>
      <c r="L56" s="37">
        <f t="shared" si="15"/>
        <v>5858.76</v>
      </c>
      <c r="M56" s="37">
        <f t="shared" si="14"/>
        <v>5858.76</v>
      </c>
      <c r="N56" s="37">
        <f>SUM(N52:N55)</f>
        <v>73404.45</v>
      </c>
    </row>
    <row r="58" spans="1:14" x14ac:dyDescent="0.3">
      <c r="A58" s="28" t="s">
        <v>293</v>
      </c>
    </row>
    <row r="59" spans="1:14" x14ac:dyDescent="0.3">
      <c r="A59" t="s">
        <v>252</v>
      </c>
      <c r="B59" s="35">
        <v>699.09</v>
      </c>
      <c r="C59" s="35">
        <v>609.66</v>
      </c>
      <c r="D59" s="35">
        <v>670.54</v>
      </c>
      <c r="E59" s="35">
        <v>716.49</v>
      </c>
      <c r="F59" s="35">
        <v>816.61</v>
      </c>
      <c r="G59" s="35">
        <v>992.7</v>
      </c>
      <c r="H59" s="35">
        <v>1326.01</v>
      </c>
      <c r="I59" s="35">
        <v>1343.92</v>
      </c>
      <c r="J59" s="35">
        <v>562.4</v>
      </c>
      <c r="K59" s="35">
        <v>820.72</v>
      </c>
      <c r="L59" s="35">
        <v>722.29</v>
      </c>
      <c r="M59" s="35">
        <v>706.17</v>
      </c>
      <c r="N59" s="35">
        <f t="shared" ref="N59:N66" si="16">SUM(B59:M59)</f>
        <v>9986.6</v>
      </c>
    </row>
    <row r="60" spans="1:14" x14ac:dyDescent="0.3">
      <c r="A60" t="s">
        <v>256</v>
      </c>
      <c r="B60" s="35">
        <v>0</v>
      </c>
      <c r="C60" s="35">
        <v>587.5</v>
      </c>
      <c r="D60" s="35">
        <v>0</v>
      </c>
      <c r="E60" s="35">
        <v>0</v>
      </c>
      <c r="F60" s="35">
        <v>0</v>
      </c>
      <c r="G60" s="35">
        <v>99.99</v>
      </c>
      <c r="H60" s="35">
        <v>0</v>
      </c>
      <c r="I60" s="35">
        <v>225</v>
      </c>
      <c r="J60" s="35">
        <v>0</v>
      </c>
      <c r="K60" s="100" t="s">
        <v>483</v>
      </c>
      <c r="L60" s="100">
        <v>0</v>
      </c>
      <c r="M60" s="100">
        <v>0</v>
      </c>
      <c r="N60" s="35">
        <f t="shared" si="16"/>
        <v>912.49</v>
      </c>
    </row>
    <row r="61" spans="1:14" x14ac:dyDescent="0.3">
      <c r="A61" t="s">
        <v>262</v>
      </c>
      <c r="B61" s="35">
        <v>0</v>
      </c>
      <c r="C61" s="35">
        <v>0</v>
      </c>
      <c r="D61" s="35">
        <v>672.84</v>
      </c>
      <c r="E61" s="35">
        <v>672.82</v>
      </c>
      <c r="F61" s="35">
        <v>672.82</v>
      </c>
      <c r="G61" s="35">
        <v>672.82</v>
      </c>
      <c r="H61" s="35">
        <v>1390.99</v>
      </c>
      <c r="I61" s="35">
        <v>637.99</v>
      </c>
      <c r="J61" s="35">
        <v>698.79</v>
      </c>
      <c r="K61" s="35">
        <v>713.83</v>
      </c>
      <c r="L61" s="35">
        <f>698.79+60.1</f>
        <v>758.89</v>
      </c>
      <c r="M61" s="35">
        <f>-60.1+426.2</f>
        <v>366.09999999999997</v>
      </c>
      <c r="N61" s="35">
        <f t="shared" si="16"/>
        <v>7257.89</v>
      </c>
    </row>
    <row r="62" spans="1:14" x14ac:dyDescent="0.3">
      <c r="A62" t="s">
        <v>248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18056.97</v>
      </c>
      <c r="K62" s="35">
        <v>1560.44</v>
      </c>
      <c r="L62" s="35">
        <v>1560.44</v>
      </c>
      <c r="M62" s="35">
        <v>1560.43</v>
      </c>
      <c r="N62" s="35">
        <f t="shared" ref="N62:N63" si="17">SUM(B62:M62)</f>
        <v>22738.28</v>
      </c>
    </row>
    <row r="63" spans="1:14" x14ac:dyDescent="0.3">
      <c r="A63" t="s">
        <v>362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f>5375.34+-59.98+0.1</f>
        <v>5315.4600000000009</v>
      </c>
      <c r="K63" s="35">
        <v>1024.25</v>
      </c>
      <c r="L63" s="35">
        <v>1187.3599999999999</v>
      </c>
      <c r="M63" s="35">
        <v>0</v>
      </c>
      <c r="N63" s="35">
        <f t="shared" si="17"/>
        <v>7527.0700000000006</v>
      </c>
    </row>
    <row r="64" spans="1:14" x14ac:dyDescent="0.3">
      <c r="A64" t="s">
        <v>384</v>
      </c>
      <c r="B64" s="35">
        <v>3000</v>
      </c>
      <c r="C64" s="35">
        <v>3000</v>
      </c>
      <c r="D64" s="35">
        <v>3000</v>
      </c>
      <c r="E64" s="35">
        <v>3000</v>
      </c>
      <c r="F64" s="35">
        <v>3000</v>
      </c>
      <c r="G64" s="35">
        <v>2000</v>
      </c>
      <c r="H64" s="35">
        <v>2000</v>
      </c>
      <c r="I64" s="35">
        <v>2000</v>
      </c>
      <c r="J64" s="35">
        <v>-10897</v>
      </c>
      <c r="K64" s="35">
        <v>318.75</v>
      </c>
      <c r="L64" s="35">
        <v>318.75</v>
      </c>
      <c r="M64" s="35">
        <v>1351.39</v>
      </c>
      <c r="N64" s="35">
        <f t="shared" si="16"/>
        <v>12091.89</v>
      </c>
    </row>
    <row r="65" spans="1:15" x14ac:dyDescent="0.3">
      <c r="A65" t="s">
        <v>361</v>
      </c>
      <c r="B65" s="35">
        <v>3750</v>
      </c>
      <c r="C65" s="35">
        <v>3750</v>
      </c>
      <c r="D65" s="35">
        <v>3750</v>
      </c>
      <c r="E65" s="35">
        <v>3750</v>
      </c>
      <c r="F65" s="35">
        <v>3750</v>
      </c>
      <c r="G65" s="35">
        <v>3750</v>
      </c>
      <c r="H65" s="35">
        <v>3750</v>
      </c>
      <c r="I65" s="35">
        <v>3750</v>
      </c>
      <c r="J65" s="35">
        <v>3750</v>
      </c>
      <c r="K65" s="35">
        <v>3750</v>
      </c>
      <c r="L65" s="35">
        <v>3750</v>
      </c>
      <c r="M65" s="35">
        <v>3810.1</v>
      </c>
      <c r="N65" s="35">
        <f t="shared" si="16"/>
        <v>45060.1</v>
      </c>
    </row>
    <row r="66" spans="1:15" x14ac:dyDescent="0.3">
      <c r="A66" t="s">
        <v>480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3935.25</v>
      </c>
      <c r="K66" s="35">
        <v>712.35</v>
      </c>
      <c r="L66" s="35">
        <v>65.25</v>
      </c>
      <c r="M66" s="35">
        <v>478.49</v>
      </c>
      <c r="N66" s="35">
        <f t="shared" si="16"/>
        <v>5191.34</v>
      </c>
    </row>
    <row r="67" spans="1:15" x14ac:dyDescent="0.3">
      <c r="A67" t="s">
        <v>385</v>
      </c>
      <c r="B67" s="35">
        <v>109</v>
      </c>
      <c r="C67" s="35">
        <v>29.99</v>
      </c>
      <c r="D67" s="35">
        <v>29.99</v>
      </c>
      <c r="E67" s="35">
        <v>29.99</v>
      </c>
      <c r="F67" s="35">
        <v>0</v>
      </c>
      <c r="G67" s="35">
        <v>29.99</v>
      </c>
      <c r="H67" s="35">
        <v>29.99</v>
      </c>
      <c r="I67" s="35">
        <v>29.99</v>
      </c>
      <c r="J67" s="100">
        <v>119.96</v>
      </c>
      <c r="K67" s="100">
        <v>0</v>
      </c>
      <c r="L67" s="100">
        <v>29.99</v>
      </c>
      <c r="M67" s="100">
        <v>29.99</v>
      </c>
      <c r="N67" s="35">
        <f>SUM(B67:M67)</f>
        <v>468.88000000000005</v>
      </c>
    </row>
    <row r="68" spans="1:15" x14ac:dyDescent="0.3">
      <c r="A68" t="s">
        <v>247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2299.5300000000002</v>
      </c>
      <c r="K68" s="35">
        <v>159.06</v>
      </c>
      <c r="L68" s="35">
        <v>202.73</v>
      </c>
      <c r="M68" s="35">
        <v>159.06</v>
      </c>
      <c r="N68" s="35">
        <f>SUM(B68:M68)</f>
        <v>2820.38</v>
      </c>
    </row>
    <row r="69" spans="1:15" x14ac:dyDescent="0.3">
      <c r="A69" t="s">
        <v>475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7140.03</v>
      </c>
      <c r="K69" s="35">
        <v>0</v>
      </c>
      <c r="L69" s="35">
        <v>0</v>
      </c>
      <c r="M69" s="35">
        <v>0</v>
      </c>
      <c r="N69" s="35">
        <f>SUM(B69:M69)</f>
        <v>7140.03</v>
      </c>
    </row>
    <row r="70" spans="1:15" x14ac:dyDescent="0.3">
      <c r="A70" s="28" t="s">
        <v>296</v>
      </c>
      <c r="B70" s="37">
        <f t="shared" ref="B70:N70" si="18">SUM(B59:B69)</f>
        <v>7558.09</v>
      </c>
      <c r="C70" s="37">
        <f t="shared" si="18"/>
        <v>7977.15</v>
      </c>
      <c r="D70" s="37">
        <f t="shared" si="18"/>
        <v>8123.37</v>
      </c>
      <c r="E70" s="37">
        <f t="shared" si="18"/>
        <v>8169.2999999999993</v>
      </c>
      <c r="F70" s="37">
        <f t="shared" si="18"/>
        <v>8239.43</v>
      </c>
      <c r="G70" s="37">
        <f t="shared" si="18"/>
        <v>7545.5</v>
      </c>
      <c r="H70" s="37">
        <f t="shared" si="18"/>
        <v>8496.99</v>
      </c>
      <c r="I70" s="37">
        <f t="shared" si="18"/>
        <v>7986.9</v>
      </c>
      <c r="J70" s="37">
        <f t="shared" ref="J70:L70" si="19">SUM(J59:J69)</f>
        <v>30981.39</v>
      </c>
      <c r="K70" s="37">
        <f t="shared" si="19"/>
        <v>9059.4</v>
      </c>
      <c r="L70" s="37">
        <f t="shared" si="19"/>
        <v>8595.6999999999989</v>
      </c>
      <c r="M70" s="37">
        <f t="shared" si="18"/>
        <v>8461.73</v>
      </c>
      <c r="N70" s="37">
        <f t="shared" si="18"/>
        <v>121194.95</v>
      </c>
    </row>
    <row r="71" spans="1:15" x14ac:dyDescent="0.3">
      <c r="A71" t="s">
        <v>245</v>
      </c>
    </row>
    <row r="72" spans="1:15" x14ac:dyDescent="0.3">
      <c r="A72" s="28" t="s">
        <v>321</v>
      </c>
    </row>
    <row r="73" spans="1:15" x14ac:dyDescent="0.3">
      <c r="A73" t="s">
        <v>322</v>
      </c>
      <c r="B73" s="35">
        <v>34022.5</v>
      </c>
      <c r="C73" s="35">
        <v>34265</v>
      </c>
      <c r="D73" s="35">
        <v>34451.25</v>
      </c>
      <c r="E73" s="35">
        <v>34845</v>
      </c>
      <c r="F73" s="35">
        <v>34565</v>
      </c>
      <c r="G73" s="35">
        <v>34906.25</v>
      </c>
      <c r="H73" s="35">
        <v>36258.75</v>
      </c>
      <c r="I73" s="35">
        <v>35423.75</v>
      </c>
      <c r="J73" s="35">
        <v>-278737.5</v>
      </c>
      <c r="K73" s="35">
        <v>0</v>
      </c>
      <c r="L73" s="35">
        <v>0</v>
      </c>
      <c r="M73" s="35">
        <v>0</v>
      </c>
      <c r="N73" s="35">
        <f>SUM(B73:M73)</f>
        <v>0</v>
      </c>
    </row>
    <row r="74" spans="1:15" x14ac:dyDescent="0.3">
      <c r="A74" s="28" t="s">
        <v>386</v>
      </c>
      <c r="B74" s="35">
        <v>0</v>
      </c>
      <c r="C74" s="35">
        <v>0</v>
      </c>
      <c r="D74" s="35">
        <v>0</v>
      </c>
      <c r="E74" s="35">
        <v>0</v>
      </c>
      <c r="F74" s="35">
        <v>31752.38</v>
      </c>
      <c r="G74" s="35">
        <v>5625.56</v>
      </c>
      <c r="H74" s="35">
        <v>4645.78</v>
      </c>
      <c r="I74" s="35">
        <v>3846.94</v>
      </c>
      <c r="J74" s="35">
        <v>3326.21</v>
      </c>
      <c r="K74" s="35">
        <v>3245.67</v>
      </c>
      <c r="L74" s="35">
        <v>3067.11</v>
      </c>
      <c r="M74" s="35">
        <v>2688.81</v>
      </c>
      <c r="N74" s="35">
        <f>SUM(B74:M74)</f>
        <v>58198.46</v>
      </c>
    </row>
    <row r="75" spans="1:15" x14ac:dyDescent="0.3">
      <c r="A75" s="28" t="s">
        <v>270</v>
      </c>
      <c r="B75" s="35">
        <v>0</v>
      </c>
      <c r="C75" s="35">
        <v>0</v>
      </c>
      <c r="D75" s="35">
        <v>0</v>
      </c>
      <c r="E75" s="35">
        <v>-219.74</v>
      </c>
      <c r="F75" s="35">
        <v>-5033.32</v>
      </c>
      <c r="G75" s="35">
        <v>-1000</v>
      </c>
      <c r="H75" s="35">
        <v>-1033.33</v>
      </c>
      <c r="I75" s="35">
        <v>-1033.33</v>
      </c>
      <c r="J75" s="35">
        <v>-1319.44</v>
      </c>
      <c r="K75" s="35">
        <v>-1463.89</v>
      </c>
      <c r="L75" s="35">
        <v>-1416.67</v>
      </c>
      <c r="M75" s="35">
        <v>-1475</v>
      </c>
      <c r="N75" s="35">
        <f>SUM(B75:M75)</f>
        <v>-13994.72</v>
      </c>
    </row>
    <row r="76" spans="1:15" x14ac:dyDescent="0.3">
      <c r="A76" s="28" t="s">
        <v>323</v>
      </c>
      <c r="B76" s="37">
        <f>SUM(B73:B75)</f>
        <v>34022.5</v>
      </c>
      <c r="C76" s="37">
        <f t="shared" ref="C76:M76" si="20">SUM(C73:C75)</f>
        <v>34265</v>
      </c>
      <c r="D76" s="37">
        <f t="shared" si="20"/>
        <v>34451.25</v>
      </c>
      <c r="E76" s="37">
        <f t="shared" si="20"/>
        <v>34625.26</v>
      </c>
      <c r="F76" s="37">
        <f>SUM(F73:F75)</f>
        <v>61284.060000000005</v>
      </c>
      <c r="G76" s="37">
        <f>SUM(G73:G75)</f>
        <v>39531.81</v>
      </c>
      <c r="H76" s="37">
        <f t="shared" ref="H76:L76" si="21">SUM(H73:H75)</f>
        <v>39871.199999999997</v>
      </c>
      <c r="I76" s="37">
        <f t="shared" si="21"/>
        <v>38237.360000000001</v>
      </c>
      <c r="J76" s="37">
        <f t="shared" si="21"/>
        <v>-276730.73</v>
      </c>
      <c r="K76" s="37">
        <f t="shared" si="21"/>
        <v>1781.78</v>
      </c>
      <c r="L76" s="37">
        <f t="shared" si="21"/>
        <v>1650.44</v>
      </c>
      <c r="M76" s="37">
        <f t="shared" si="20"/>
        <v>1213.81</v>
      </c>
      <c r="N76" s="37">
        <f>SUM(N73:N75)</f>
        <v>44203.74</v>
      </c>
    </row>
    <row r="78" spans="1:15" ht="15" thickBot="1" x14ac:dyDescent="0.35">
      <c r="A78" s="28" t="s">
        <v>210</v>
      </c>
      <c r="B78" s="38">
        <f t="shared" ref="B78:I78" si="22">B56+B70+B76+B49</f>
        <v>42561.83</v>
      </c>
      <c r="C78" s="38">
        <f t="shared" si="22"/>
        <v>43333.279999999999</v>
      </c>
      <c r="D78" s="38">
        <f t="shared" si="22"/>
        <v>42992.91</v>
      </c>
      <c r="E78" s="38">
        <f t="shared" si="22"/>
        <v>43212.850000000006</v>
      </c>
      <c r="F78" s="38">
        <f t="shared" si="22"/>
        <v>69941.78</v>
      </c>
      <c r="G78" s="38">
        <f t="shared" si="22"/>
        <v>47495.6</v>
      </c>
      <c r="H78" s="38">
        <f t="shared" si="22"/>
        <v>49994.549999999996</v>
      </c>
      <c r="I78" s="38">
        <f t="shared" si="22"/>
        <v>46642.55</v>
      </c>
      <c r="J78" s="38">
        <f>J56+J70+J76+J49</f>
        <v>365281.76</v>
      </c>
      <c r="K78" s="38">
        <f>K56+K70+K76+K49</f>
        <v>96239.59</v>
      </c>
      <c r="L78" s="38">
        <f>L56+L70+L76+L49</f>
        <v>81326.469999999987</v>
      </c>
      <c r="M78" s="38">
        <f>M56+M70+M76+M49</f>
        <v>137159.57</v>
      </c>
      <c r="N78" s="38">
        <f>N56+N70+N76+N49</f>
        <v>1066182.7399999998</v>
      </c>
    </row>
    <row r="80" spans="1:15" ht="15" thickBot="1" x14ac:dyDescent="0.35">
      <c r="A80" s="28" t="s">
        <v>300</v>
      </c>
      <c r="B80" s="39">
        <f t="shared" ref="B80:N80" si="23">B38-B78</f>
        <v>-41850.590000000011</v>
      </c>
      <c r="C80" s="39">
        <f t="shared" si="23"/>
        <v>35443.76000000097</v>
      </c>
      <c r="D80" s="39">
        <f t="shared" si="23"/>
        <v>22849.710000000108</v>
      </c>
      <c r="E80" s="39">
        <f t="shared" si="23"/>
        <v>97526.479999999137</v>
      </c>
      <c r="F80" s="39">
        <f t="shared" si="23"/>
        <v>55606.169999997393</v>
      </c>
      <c r="G80" s="39">
        <f t="shared" si="23"/>
        <v>82835.14000000208</v>
      </c>
      <c r="H80" s="39">
        <f t="shared" si="23"/>
        <v>149871.3000000015</v>
      </c>
      <c r="I80" s="39">
        <f t="shared" si="23"/>
        <v>32262.459999997911</v>
      </c>
      <c r="J80" s="39">
        <f t="shared" ref="J80:L80" si="24">J38-J78</f>
        <v>-361825.79000000004</v>
      </c>
      <c r="K80" s="39">
        <f t="shared" si="24"/>
        <v>118142.20000000004</v>
      </c>
      <c r="L80" s="39">
        <f t="shared" si="24"/>
        <v>44871.129999999641</v>
      </c>
      <c r="M80" s="39">
        <f>M38-M78</f>
        <v>-17265.069999999076</v>
      </c>
      <c r="N80" s="39">
        <f t="shared" si="23"/>
        <v>218466.90000000084</v>
      </c>
      <c r="O80"/>
    </row>
    <row r="81" ht="15" thickTop="1" x14ac:dyDescent="0.3"/>
  </sheetData>
  <mergeCells count="3">
    <mergeCell ref="A1:N1"/>
    <mergeCell ref="A2:N2"/>
    <mergeCell ref="A3:N3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B6" sqref="B6:N21"/>
    </sheetView>
  </sheetViews>
  <sheetFormatPr defaultRowHeight="14.4" x14ac:dyDescent="0.3"/>
  <cols>
    <col min="1" max="1" width="41.33203125" bestFit="1" customWidth="1"/>
    <col min="2" max="13" width="13.33203125" style="35" bestFit="1" customWidth="1"/>
    <col min="14" max="14" width="14.33203125" style="35" bestFit="1" customWidth="1"/>
    <col min="15" max="15" width="9.109375" style="35" customWidth="1"/>
  </cols>
  <sheetData>
    <row r="1" spans="1:14" x14ac:dyDescent="0.3">
      <c r="A1" s="176" t="s">
        <v>327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8" spans="1:14" s="35" customFormat="1" x14ac:dyDescent="0.3">
      <c r="A8" s="28" t="s">
        <v>293</v>
      </c>
    </row>
    <row r="9" spans="1:14" s="35" customFormat="1" x14ac:dyDescent="0.3">
      <c r="A9" t="s">
        <v>546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4281.26</v>
      </c>
      <c r="N9" s="35">
        <f>SUM(B9:M9)</f>
        <v>4281.26</v>
      </c>
    </row>
    <row r="10" spans="1:14" s="35" customFormat="1" x14ac:dyDescent="0.3">
      <c r="A10" t="s">
        <v>252</v>
      </c>
      <c r="B10" s="35">
        <v>218.79</v>
      </c>
      <c r="C10" s="35">
        <v>218.72</v>
      </c>
      <c r="D10" s="35">
        <v>219.51</v>
      </c>
      <c r="E10" s="35">
        <v>218.41</v>
      </c>
      <c r="F10" s="35">
        <v>216.38</v>
      </c>
      <c r="G10" s="35">
        <v>185.13</v>
      </c>
      <c r="H10" s="35">
        <v>185.13</v>
      </c>
      <c r="I10" s="35">
        <v>185.13</v>
      </c>
      <c r="J10" s="35">
        <v>186.01</v>
      </c>
      <c r="K10" s="35">
        <v>196.3</v>
      </c>
      <c r="L10" s="35">
        <v>185.36</v>
      </c>
      <c r="M10" s="35">
        <v>204.12</v>
      </c>
      <c r="N10" s="35">
        <f>SUM(B10:M10)</f>
        <v>2418.9900000000002</v>
      </c>
    </row>
    <row r="11" spans="1:14" s="35" customFormat="1" x14ac:dyDescent="0.3">
      <c r="A11" t="s">
        <v>328</v>
      </c>
      <c r="B11" s="35">
        <v>109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f>SUM(B11:M11)</f>
        <v>109</v>
      </c>
    </row>
    <row r="12" spans="1:14" s="35" customFormat="1" x14ac:dyDescent="0.3">
      <c r="A12" t="s">
        <v>362</v>
      </c>
      <c r="B12" s="35">
        <v>0</v>
      </c>
      <c r="C12" s="35">
        <v>0</v>
      </c>
      <c r="D12" s="35">
        <v>0</v>
      </c>
      <c r="E12" s="35">
        <v>0</v>
      </c>
      <c r="F12" s="35">
        <v>1250</v>
      </c>
      <c r="G12" s="35">
        <v>1250</v>
      </c>
      <c r="H12" s="35">
        <v>1250</v>
      </c>
      <c r="I12" s="35">
        <v>3750</v>
      </c>
      <c r="J12" s="35">
        <v>3750</v>
      </c>
      <c r="K12" s="35">
        <v>3750</v>
      </c>
      <c r="L12" s="35">
        <v>3750</v>
      </c>
      <c r="M12" s="35">
        <v>3750</v>
      </c>
      <c r="N12" s="35">
        <f>SUM(B12:M12)</f>
        <v>22500</v>
      </c>
    </row>
    <row r="13" spans="1:14" s="35" customFormat="1" x14ac:dyDescent="0.3">
      <c r="A13" t="s">
        <v>422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270</v>
      </c>
      <c r="H13" s="35">
        <v>384.17</v>
      </c>
      <c r="I13" s="35">
        <v>384.17</v>
      </c>
      <c r="J13" s="35">
        <v>384.17</v>
      </c>
      <c r="K13" s="35">
        <v>384.17</v>
      </c>
      <c r="L13" s="35">
        <v>384.17</v>
      </c>
      <c r="M13" s="35">
        <v>384.15</v>
      </c>
      <c r="N13" s="35">
        <f>SUM(B13:M13)</f>
        <v>2575.0000000000005</v>
      </c>
    </row>
    <row r="14" spans="1:14" s="35" customFormat="1" x14ac:dyDescent="0.3">
      <c r="A14" s="28" t="s">
        <v>296</v>
      </c>
      <c r="B14" s="37">
        <f t="shared" ref="B14:N14" si="0">SUM(B9:B13)</f>
        <v>327.78999999999996</v>
      </c>
      <c r="C14" s="37">
        <f t="shared" si="0"/>
        <v>218.72</v>
      </c>
      <c r="D14" s="37">
        <f t="shared" si="0"/>
        <v>219.51</v>
      </c>
      <c r="E14" s="37">
        <f t="shared" si="0"/>
        <v>218.41</v>
      </c>
      <c r="F14" s="37">
        <f t="shared" si="0"/>
        <v>1466.38</v>
      </c>
      <c r="G14" s="37">
        <f t="shared" si="0"/>
        <v>1705.13</v>
      </c>
      <c r="H14" s="37">
        <f t="shared" si="0"/>
        <v>1819.3000000000002</v>
      </c>
      <c r="I14" s="37">
        <f t="shared" si="0"/>
        <v>4319.3</v>
      </c>
      <c r="J14" s="37">
        <f t="shared" si="0"/>
        <v>4320.18</v>
      </c>
      <c r="K14" s="37">
        <f t="shared" si="0"/>
        <v>4330.47</v>
      </c>
      <c r="L14" s="37">
        <f t="shared" si="0"/>
        <v>4319.53</v>
      </c>
      <c r="M14" s="37">
        <f t="shared" si="0"/>
        <v>8619.5300000000007</v>
      </c>
      <c r="N14" s="37">
        <f t="shared" si="0"/>
        <v>31884.25</v>
      </c>
    </row>
    <row r="15" spans="1:14" s="35" customFormat="1" x14ac:dyDescent="0.3">
      <c r="A15" t="s">
        <v>245</v>
      </c>
    </row>
    <row r="16" spans="1:14" s="35" customFormat="1" x14ac:dyDescent="0.3">
      <c r="A16" s="28" t="s">
        <v>321</v>
      </c>
    </row>
    <row r="17" spans="1:15" s="35" customFormat="1" x14ac:dyDescent="0.3">
      <c r="A17" t="s">
        <v>270</v>
      </c>
      <c r="B17" s="35">
        <v>3744.3</v>
      </c>
      <c r="C17" s="35">
        <v>2815.01</v>
      </c>
      <c r="D17" s="35">
        <v>3116.6</v>
      </c>
      <c r="E17" s="35">
        <v>2687.25</v>
      </c>
      <c r="F17" s="35">
        <v>3286.89</v>
      </c>
      <c r="G17" s="35">
        <v>5798.93</v>
      </c>
      <c r="H17" s="35">
        <v>5986.2</v>
      </c>
      <c r="I17" s="35">
        <v>8330.66</v>
      </c>
      <c r="J17" s="35">
        <v>3960.03</v>
      </c>
      <c r="K17" s="35">
        <v>4092.03</v>
      </c>
      <c r="L17" s="35">
        <v>4126.74</v>
      </c>
      <c r="M17" s="35">
        <v>3984.62</v>
      </c>
      <c r="N17" s="35">
        <f>SUM(B17:M17)</f>
        <v>51929.259999999995</v>
      </c>
    </row>
    <row r="18" spans="1:15" s="35" customFormat="1" x14ac:dyDescent="0.3">
      <c r="A18" t="s">
        <v>271</v>
      </c>
      <c r="B18" s="35">
        <v>-881.76</v>
      </c>
      <c r="C18" s="35">
        <v>-506.4</v>
      </c>
      <c r="D18" s="35">
        <v>-560.66</v>
      </c>
      <c r="E18" s="35">
        <v>-542.57000000000005</v>
      </c>
      <c r="F18" s="35">
        <v>-280.69</v>
      </c>
      <c r="G18" s="35">
        <v>-562.42999999999995</v>
      </c>
      <c r="H18" s="35">
        <v>-581.17999999999995</v>
      </c>
      <c r="I18" s="35">
        <v>-554.73</v>
      </c>
      <c r="J18" s="35">
        <v>-231.6</v>
      </c>
      <c r="K18" s="35">
        <v>-239.32</v>
      </c>
      <c r="L18" s="35">
        <v>-231.6</v>
      </c>
      <c r="M18" s="35">
        <v>-239.32</v>
      </c>
      <c r="N18" s="35">
        <f>SUM(B18:M18)</f>
        <v>-5412.26</v>
      </c>
    </row>
    <row r="19" spans="1:15" s="35" customFormat="1" x14ac:dyDescent="0.3">
      <c r="A19" s="28" t="s">
        <v>323</v>
      </c>
      <c r="B19" s="37">
        <f t="shared" ref="B19:N19" si="1">SUM(B17:B18)</f>
        <v>2862.54</v>
      </c>
      <c r="C19" s="37">
        <f t="shared" si="1"/>
        <v>2308.61</v>
      </c>
      <c r="D19" s="37">
        <f t="shared" si="1"/>
        <v>2555.94</v>
      </c>
      <c r="E19" s="37">
        <f t="shared" si="1"/>
        <v>2144.6799999999998</v>
      </c>
      <c r="F19" s="37">
        <f t="shared" si="1"/>
        <v>3006.2</v>
      </c>
      <c r="G19" s="37">
        <f t="shared" si="1"/>
        <v>5236.5</v>
      </c>
      <c r="H19" s="37">
        <f t="shared" si="1"/>
        <v>5405.0199999999995</v>
      </c>
      <c r="I19" s="37">
        <f t="shared" ref="I19:L19" si="2">SUM(I17:I18)</f>
        <v>7775.93</v>
      </c>
      <c r="J19" s="37">
        <f t="shared" si="2"/>
        <v>3728.4300000000003</v>
      </c>
      <c r="K19" s="37">
        <f t="shared" si="2"/>
        <v>3852.71</v>
      </c>
      <c r="L19" s="37">
        <f t="shared" si="2"/>
        <v>3895.14</v>
      </c>
      <c r="M19" s="37">
        <f t="shared" si="1"/>
        <v>3745.2999999999997</v>
      </c>
      <c r="N19" s="37">
        <f t="shared" si="1"/>
        <v>46516.999999999993</v>
      </c>
    </row>
    <row r="21" spans="1:15" ht="15" thickBot="1" x14ac:dyDescent="0.35">
      <c r="A21" s="28" t="s">
        <v>300</v>
      </c>
      <c r="B21" s="39">
        <f t="shared" ref="B21:N21" si="3">B19-B14</f>
        <v>2534.75</v>
      </c>
      <c r="C21" s="39">
        <f t="shared" si="3"/>
        <v>2089.8900000000003</v>
      </c>
      <c r="D21" s="39">
        <f t="shared" si="3"/>
        <v>2336.4300000000003</v>
      </c>
      <c r="E21" s="39">
        <f t="shared" si="3"/>
        <v>1926.2699999999998</v>
      </c>
      <c r="F21" s="39">
        <f t="shared" si="3"/>
        <v>1539.8199999999997</v>
      </c>
      <c r="G21" s="39">
        <f t="shared" si="3"/>
        <v>3531.37</v>
      </c>
      <c r="H21" s="39">
        <f t="shared" si="3"/>
        <v>3585.7199999999993</v>
      </c>
      <c r="I21" s="39">
        <f t="shared" ref="I21:L21" si="4">I19-I14</f>
        <v>3456.63</v>
      </c>
      <c r="J21" s="39">
        <f t="shared" si="4"/>
        <v>-591.75</v>
      </c>
      <c r="K21" s="39">
        <f t="shared" si="4"/>
        <v>-477.76000000000022</v>
      </c>
      <c r="L21" s="39">
        <f t="shared" si="4"/>
        <v>-424.38999999999987</v>
      </c>
      <c r="M21" s="39">
        <f t="shared" si="3"/>
        <v>-4874.2300000000014</v>
      </c>
      <c r="N21" s="39">
        <f t="shared" si="3"/>
        <v>14632.749999999993</v>
      </c>
      <c r="O21"/>
    </row>
    <row r="22" spans="1:15" ht="15" thickTop="1" x14ac:dyDescent="0.3"/>
  </sheetData>
  <mergeCells count="3">
    <mergeCell ref="A1:N1"/>
    <mergeCell ref="A2:N2"/>
    <mergeCell ref="A3:N3"/>
  </mergeCells>
  <pageMargins left="0.7" right="0.7" top="0.75" bottom="0.75" header="0.3" footer="0.3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zoomScaleNormal="100" workbookViewId="0">
      <pane ySplit="6" topLeftCell="A67" activePane="bottomLeft" state="frozen"/>
      <selection activeCell="C20" sqref="C20"/>
      <selection pane="bottomLeft" activeCell="Q31" sqref="Q31"/>
    </sheetView>
  </sheetViews>
  <sheetFormatPr defaultRowHeight="14.4" x14ac:dyDescent="0.3"/>
  <cols>
    <col min="1" max="1" width="44.44140625" bestFit="1" customWidth="1"/>
    <col min="2" max="3" width="13" style="35" bestFit="1" customWidth="1"/>
    <col min="4" max="4" width="13.44140625" style="35" bestFit="1" customWidth="1"/>
    <col min="5" max="6" width="13" style="35" bestFit="1" customWidth="1"/>
    <col min="7" max="7" width="13" style="35" customWidth="1"/>
    <col min="8" max="13" width="13" style="35" bestFit="1" customWidth="1"/>
    <col min="14" max="14" width="13.44140625" style="35" bestFit="1" customWidth="1"/>
    <col min="15" max="15" width="9.109375" style="35" customWidth="1"/>
    <col min="16" max="16" width="9.5546875" bestFit="1" customWidth="1"/>
    <col min="18" max="18" width="11.5546875" bestFit="1" customWidth="1"/>
  </cols>
  <sheetData>
    <row r="1" spans="1:15" x14ac:dyDescent="0.3">
      <c r="A1" s="176" t="s">
        <v>348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5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5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5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7" spans="1:15" x14ac:dyDescent="0.3">
      <c r="A7" s="28" t="s">
        <v>62</v>
      </c>
    </row>
    <row r="8" spans="1:15" x14ac:dyDescent="0.3">
      <c r="A8" t="s">
        <v>488</v>
      </c>
      <c r="B8" s="35">
        <v>365</v>
      </c>
      <c r="C8" s="35">
        <v>372</v>
      </c>
      <c r="D8" s="35">
        <v>340</v>
      </c>
      <c r="E8" s="35">
        <v>208</v>
      </c>
      <c r="F8" s="35">
        <v>0</v>
      </c>
      <c r="G8" s="35">
        <v>65</v>
      </c>
      <c r="H8" s="35">
        <v>0</v>
      </c>
      <c r="I8" s="35">
        <v>0</v>
      </c>
      <c r="J8" s="35">
        <v>0</v>
      </c>
      <c r="K8" s="35">
        <v>262</v>
      </c>
      <c r="L8" s="35">
        <v>0</v>
      </c>
      <c r="M8" s="35">
        <v>0</v>
      </c>
      <c r="N8" s="35">
        <f t="shared" ref="N8:N13" si="0">SUM(B8:M8)</f>
        <v>1612</v>
      </c>
    </row>
    <row r="9" spans="1:15" x14ac:dyDescent="0.3">
      <c r="A9" t="s">
        <v>349</v>
      </c>
      <c r="B9" s="35">
        <v>697</v>
      </c>
      <c r="C9" s="35">
        <v>736</v>
      </c>
      <c r="D9" s="35">
        <v>692</v>
      </c>
      <c r="E9" s="35">
        <v>462</v>
      </c>
      <c r="F9" s="35">
        <v>0</v>
      </c>
      <c r="G9" s="35">
        <v>89</v>
      </c>
      <c r="H9" s="35">
        <v>0</v>
      </c>
      <c r="I9" s="35">
        <v>0</v>
      </c>
      <c r="J9" s="35">
        <v>0</v>
      </c>
      <c r="K9" s="35">
        <v>327</v>
      </c>
      <c r="L9" s="35">
        <v>4762.76</v>
      </c>
      <c r="M9" s="35">
        <v>0</v>
      </c>
      <c r="N9" s="35">
        <f t="shared" si="0"/>
        <v>7765.76</v>
      </c>
    </row>
    <row r="10" spans="1:15" x14ac:dyDescent="0.3">
      <c r="A10" t="s">
        <v>372</v>
      </c>
      <c r="B10" s="35">
        <v>207.81</v>
      </c>
      <c r="C10" s="35">
        <v>0</v>
      </c>
      <c r="D10" s="35">
        <v>101.02</v>
      </c>
      <c r="E10" s="35">
        <f>55.84+184</f>
        <v>239.84</v>
      </c>
      <c r="F10" s="35">
        <v>52.71</v>
      </c>
      <c r="G10" s="35">
        <v>12.7</v>
      </c>
      <c r="H10" s="35">
        <v>0</v>
      </c>
      <c r="I10" s="35">
        <v>0</v>
      </c>
      <c r="J10" s="35">
        <v>0</v>
      </c>
      <c r="K10" s="35">
        <v>72.95</v>
      </c>
      <c r="L10" s="35">
        <v>62.31</v>
      </c>
      <c r="M10" s="35">
        <v>373</v>
      </c>
      <c r="N10" s="35">
        <f t="shared" si="0"/>
        <v>1122.3400000000001</v>
      </c>
    </row>
    <row r="11" spans="1:15" x14ac:dyDescent="0.3">
      <c r="A11" t="s">
        <v>351</v>
      </c>
      <c r="B11" s="35">
        <v>904.5</v>
      </c>
      <c r="C11" s="35">
        <v>1299.6300000000001</v>
      </c>
      <c r="D11" s="35">
        <v>1258.3699999999999</v>
      </c>
      <c r="E11" s="35">
        <v>992.9</v>
      </c>
      <c r="F11" s="35">
        <v>403.64</v>
      </c>
      <c r="G11" s="35">
        <v>147.37</v>
      </c>
      <c r="H11" s="35">
        <v>0</v>
      </c>
      <c r="I11" s="35">
        <v>76.73</v>
      </c>
      <c r="J11" s="35">
        <v>1350</v>
      </c>
      <c r="K11" s="35">
        <v>58.37</v>
      </c>
      <c r="L11" s="35">
        <v>227.76</v>
      </c>
      <c r="M11" s="35">
        <v>745.01</v>
      </c>
      <c r="N11" s="35">
        <f t="shared" si="0"/>
        <v>7464.28</v>
      </c>
    </row>
    <row r="12" spans="1:15" x14ac:dyDescent="0.3">
      <c r="A12" t="s">
        <v>350</v>
      </c>
      <c r="B12" s="35">
        <v>55.65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f t="shared" si="0"/>
        <v>55.65</v>
      </c>
    </row>
    <row r="13" spans="1:15" x14ac:dyDescent="0.3">
      <c r="A13" t="s">
        <v>352</v>
      </c>
      <c r="B13" s="35">
        <v>140541.41</v>
      </c>
      <c r="C13" s="35">
        <v>129527.17</v>
      </c>
      <c r="D13" s="35">
        <v>122190.47</v>
      </c>
      <c r="E13" s="35">
        <v>75732.429999999993</v>
      </c>
      <c r="F13" s="35">
        <v>28298</v>
      </c>
      <c r="G13" s="35">
        <v>13693.62</v>
      </c>
      <c r="H13" s="35">
        <v>7035</v>
      </c>
      <c r="I13" s="35">
        <v>12270</v>
      </c>
      <c r="J13" s="35">
        <v>6947</v>
      </c>
      <c r="K13" s="35">
        <v>14567</v>
      </c>
      <c r="L13" s="35">
        <v>124746.5</v>
      </c>
      <c r="M13" s="35">
        <v>99301.91</v>
      </c>
      <c r="N13" s="35">
        <f t="shared" si="0"/>
        <v>774850.51000000013</v>
      </c>
      <c r="O13" s="35">
        <f>N13-774850.51</f>
        <v>0</v>
      </c>
    </row>
    <row r="14" spans="1:15" s="35" customFormat="1" x14ac:dyDescent="0.3">
      <c r="A14" s="28" t="s">
        <v>223</v>
      </c>
      <c r="B14" s="37">
        <f t="shared" ref="B14:N14" si="1">SUM(B8:B13)</f>
        <v>142771.37</v>
      </c>
      <c r="C14" s="37">
        <f t="shared" si="1"/>
        <v>131934.79999999999</v>
      </c>
      <c r="D14" s="37">
        <f t="shared" si="1"/>
        <v>124581.86</v>
      </c>
      <c r="E14" s="37">
        <f t="shared" si="1"/>
        <v>77635.17</v>
      </c>
      <c r="F14" s="37">
        <f t="shared" si="1"/>
        <v>28754.35</v>
      </c>
      <c r="G14" s="37">
        <f t="shared" si="1"/>
        <v>14007.69</v>
      </c>
      <c r="H14" s="37">
        <f t="shared" si="1"/>
        <v>7035</v>
      </c>
      <c r="I14" s="37">
        <f t="shared" si="1"/>
        <v>12346.73</v>
      </c>
      <c r="J14" s="37">
        <f t="shared" si="1"/>
        <v>8297</v>
      </c>
      <c r="K14" s="37">
        <f t="shared" si="1"/>
        <v>15287.32</v>
      </c>
      <c r="L14" s="37">
        <f t="shared" ref="L14" si="2">SUM(L8:L13)</f>
        <v>129799.33</v>
      </c>
      <c r="M14" s="37">
        <f t="shared" si="1"/>
        <v>100419.92</v>
      </c>
      <c r="N14" s="37">
        <f t="shared" si="1"/>
        <v>792870.54000000015</v>
      </c>
    </row>
    <row r="16" spans="1:15" s="35" customFormat="1" x14ac:dyDescent="0.3">
      <c r="A16" s="28"/>
    </row>
    <row r="17" spans="1:14" s="35" customFormat="1" x14ac:dyDescent="0.3">
      <c r="A17" t="s">
        <v>353</v>
      </c>
      <c r="B17" s="35">
        <v>489.92</v>
      </c>
      <c r="C17" s="35">
        <v>578.66999999999996</v>
      </c>
      <c r="D17" s="35">
        <v>0</v>
      </c>
      <c r="E17" s="35">
        <v>0</v>
      </c>
      <c r="F17" s="35">
        <v>0</v>
      </c>
      <c r="G17" s="35">
        <v>579.63</v>
      </c>
      <c r="H17" s="35">
        <v>0</v>
      </c>
      <c r="I17" s="35">
        <v>0</v>
      </c>
      <c r="J17" s="35">
        <v>0</v>
      </c>
      <c r="K17" s="35">
        <v>0</v>
      </c>
      <c r="L17" s="35">
        <v>281.19</v>
      </c>
      <c r="M17" s="35">
        <v>0</v>
      </c>
      <c r="N17" s="35">
        <f>SUM(B17:M17)</f>
        <v>1929.4099999999999</v>
      </c>
    </row>
    <row r="18" spans="1:14" s="35" customFormat="1" x14ac:dyDescent="0.3">
      <c r="A18" s="28" t="s">
        <v>282</v>
      </c>
      <c r="B18" s="37">
        <f t="shared" ref="B18:M18" si="3">SUM(B17:B17)</f>
        <v>489.92</v>
      </c>
      <c r="C18" s="37">
        <f t="shared" si="3"/>
        <v>578.66999999999996</v>
      </c>
      <c r="D18" s="37">
        <f t="shared" si="3"/>
        <v>0</v>
      </c>
      <c r="E18" s="37">
        <f t="shared" si="3"/>
        <v>0</v>
      </c>
      <c r="F18" s="37">
        <f>SUM(F17:F17)</f>
        <v>0</v>
      </c>
      <c r="G18" s="37">
        <f t="shared" ref="G18:L18" si="4">SUM(G17:G17)</f>
        <v>579.63</v>
      </c>
      <c r="H18" s="37">
        <f t="shared" si="4"/>
        <v>0</v>
      </c>
      <c r="I18" s="37">
        <f t="shared" si="4"/>
        <v>0</v>
      </c>
      <c r="J18" s="37">
        <f t="shared" si="4"/>
        <v>0</v>
      </c>
      <c r="K18" s="37">
        <f t="shared" si="4"/>
        <v>0</v>
      </c>
      <c r="L18" s="37">
        <f t="shared" si="4"/>
        <v>281.19</v>
      </c>
      <c r="M18" s="37">
        <f t="shared" si="3"/>
        <v>0</v>
      </c>
      <c r="N18" s="37">
        <f>SUM(N17:N17)</f>
        <v>1929.4099999999999</v>
      </c>
    </row>
    <row r="20" spans="1:14" s="35" customFormat="1" ht="15" thickBot="1" x14ac:dyDescent="0.35">
      <c r="A20" s="28" t="s">
        <v>211</v>
      </c>
      <c r="B20" s="38">
        <f t="shared" ref="B20:M20" si="5">B14-B18</f>
        <v>142281.44999999998</v>
      </c>
      <c r="C20" s="38">
        <f t="shared" si="5"/>
        <v>131356.12999999998</v>
      </c>
      <c r="D20" s="38">
        <f t="shared" si="5"/>
        <v>124581.86</v>
      </c>
      <c r="E20" s="38">
        <f t="shared" si="5"/>
        <v>77635.17</v>
      </c>
      <c r="F20" s="38">
        <f>F14-F18</f>
        <v>28754.35</v>
      </c>
      <c r="G20" s="38">
        <f t="shared" ref="G20:L20" si="6">G14-G18</f>
        <v>13428.060000000001</v>
      </c>
      <c r="H20" s="38">
        <f t="shared" si="6"/>
        <v>7035</v>
      </c>
      <c r="I20" s="38">
        <f t="shared" si="6"/>
        <v>12346.73</v>
      </c>
      <c r="J20" s="38">
        <f t="shared" si="6"/>
        <v>8297</v>
      </c>
      <c r="K20" s="38">
        <f t="shared" si="6"/>
        <v>15287.32</v>
      </c>
      <c r="L20" s="38">
        <f t="shared" si="6"/>
        <v>129518.14</v>
      </c>
      <c r="M20" s="38">
        <f t="shared" si="5"/>
        <v>100419.92</v>
      </c>
      <c r="N20" s="38">
        <f>N14-N18</f>
        <v>790941.13000000012</v>
      </c>
    </row>
    <row r="22" spans="1:14" s="35" customFormat="1" x14ac:dyDescent="0.3">
      <c r="A22" s="28" t="s">
        <v>209</v>
      </c>
    </row>
    <row r="23" spans="1:14" s="35" customFormat="1" x14ac:dyDescent="0.3">
      <c r="A23" t="s">
        <v>225</v>
      </c>
      <c r="N23" s="35">
        <f>SUM(B23:E23)</f>
        <v>0</v>
      </c>
    </row>
    <row r="24" spans="1:14" s="35" customFormat="1" x14ac:dyDescent="0.3">
      <c r="A24" t="s">
        <v>283</v>
      </c>
      <c r="B24" s="35">
        <v>15834.2</v>
      </c>
      <c r="C24" s="35">
        <v>24166.18</v>
      </c>
      <c r="D24" s="35">
        <v>37081.71</v>
      </c>
      <c r="E24" s="35">
        <v>20886.21</v>
      </c>
      <c r="F24" s="35">
        <v>18251.09</v>
      </c>
      <c r="G24" s="35">
        <v>16382.41</v>
      </c>
      <c r="H24" s="35">
        <v>15402.13</v>
      </c>
      <c r="I24" s="35">
        <v>14659.46</v>
      </c>
      <c r="J24" s="35">
        <v>15909.62</v>
      </c>
      <c r="K24" s="35">
        <v>12807.31</v>
      </c>
      <c r="L24" s="35">
        <v>23364.080000000002</v>
      </c>
      <c r="M24" s="35">
        <v>26647.66</v>
      </c>
      <c r="N24" s="35">
        <f t="shared" ref="N24:N32" si="7">SUM(B24:M24)</f>
        <v>241392.05999999997</v>
      </c>
    </row>
    <row r="25" spans="1:14" s="35" customFormat="1" x14ac:dyDescent="0.3">
      <c r="A25" t="s">
        <v>548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5872.5</v>
      </c>
      <c r="N25" s="35">
        <f t="shared" si="7"/>
        <v>5872.5</v>
      </c>
    </row>
    <row r="26" spans="1:14" s="35" customFormat="1" x14ac:dyDescent="0.3">
      <c r="A26" t="s">
        <v>284</v>
      </c>
      <c r="B26" s="35">
        <v>1521.73</v>
      </c>
      <c r="C26" s="35">
        <v>2302.9</v>
      </c>
      <c r="D26" s="35">
        <v>3377.89</v>
      </c>
      <c r="E26" s="35">
        <v>1767.49</v>
      </c>
      <c r="F26" s="35">
        <v>1425.45</v>
      </c>
      <c r="G26" s="35">
        <v>1258.53</v>
      </c>
      <c r="H26" s="35">
        <v>1187.17</v>
      </c>
      <c r="I26" s="35">
        <v>1193.8399999999999</v>
      </c>
      <c r="J26" s="35">
        <v>1151.3499999999999</v>
      </c>
      <c r="K26" s="35">
        <v>1003.79</v>
      </c>
      <c r="L26" s="35">
        <v>1919.04</v>
      </c>
      <c r="M26" s="35">
        <v>2809.1</v>
      </c>
      <c r="N26" s="35">
        <f t="shared" si="7"/>
        <v>20918.280000000002</v>
      </c>
    </row>
    <row r="27" spans="1:14" s="35" customFormat="1" x14ac:dyDescent="0.3">
      <c r="A27" t="s">
        <v>285</v>
      </c>
      <c r="B27" s="35">
        <v>5181.21</v>
      </c>
      <c r="C27" s="35">
        <v>5181.21</v>
      </c>
      <c r="D27" s="35">
        <v>5370.82</v>
      </c>
      <c r="E27" s="35">
        <v>5181.21</v>
      </c>
      <c r="F27" s="35">
        <v>5181.21</v>
      </c>
      <c r="G27" s="35">
        <v>5181.21</v>
      </c>
      <c r="H27" s="35">
        <v>4324.3999999999996</v>
      </c>
      <c r="I27" s="35">
        <v>4597.0200000000004</v>
      </c>
      <c r="J27" s="35">
        <v>4597.0200000000004</v>
      </c>
      <c r="K27" s="35">
        <v>4597.0200000000004</v>
      </c>
      <c r="L27" s="35">
        <v>4597.0200000000004</v>
      </c>
      <c r="M27" s="35">
        <v>4849.53</v>
      </c>
      <c r="N27" s="35">
        <f t="shared" si="7"/>
        <v>58838.880000000005</v>
      </c>
    </row>
    <row r="28" spans="1:14" s="35" customFormat="1" x14ac:dyDescent="0.3">
      <c r="A28" t="s">
        <v>286</v>
      </c>
      <c r="B28" s="35">
        <v>362.79</v>
      </c>
      <c r="C28" s="35">
        <v>362.79</v>
      </c>
      <c r="D28" s="35">
        <v>0</v>
      </c>
      <c r="E28" s="35">
        <v>362.79</v>
      </c>
      <c r="F28" s="35">
        <v>362.79</v>
      </c>
      <c r="G28" s="35">
        <v>362.79</v>
      </c>
      <c r="H28" s="35">
        <v>288.14999999999998</v>
      </c>
      <c r="I28" s="35">
        <v>325.47000000000003</v>
      </c>
      <c r="J28" s="35">
        <v>325.47000000000003</v>
      </c>
      <c r="K28" s="35">
        <v>325.47000000000003</v>
      </c>
      <c r="L28" s="35">
        <v>325.47000000000003</v>
      </c>
      <c r="M28" s="35">
        <v>333.6</v>
      </c>
      <c r="N28" s="35">
        <f t="shared" si="7"/>
        <v>3737.5800000000004</v>
      </c>
    </row>
    <row r="29" spans="1:14" s="35" customFormat="1" x14ac:dyDescent="0.3">
      <c r="A29" t="s">
        <v>355</v>
      </c>
      <c r="B29" s="35">
        <v>131.22999999999999</v>
      </c>
      <c r="C29" s="35">
        <v>131.22999999999999</v>
      </c>
      <c r="D29" s="35">
        <v>131.13</v>
      </c>
      <c r="E29" s="35">
        <v>131.22999999999999</v>
      </c>
      <c r="F29" s="35">
        <v>131.22999999999999</v>
      </c>
      <c r="G29" s="35">
        <v>131.22999999999999</v>
      </c>
      <c r="H29" s="35">
        <v>76.239999999999995</v>
      </c>
      <c r="I29" s="35">
        <v>103.75</v>
      </c>
      <c r="J29" s="35">
        <v>103.75</v>
      </c>
      <c r="K29" s="35">
        <v>103.75</v>
      </c>
      <c r="L29" s="35">
        <v>103.75</v>
      </c>
      <c r="M29" s="35">
        <v>0</v>
      </c>
      <c r="N29" s="35">
        <f t="shared" si="7"/>
        <v>1278.52</v>
      </c>
    </row>
    <row r="30" spans="1:14" s="35" customFormat="1" x14ac:dyDescent="0.3">
      <c r="A30" t="s">
        <v>332</v>
      </c>
      <c r="B30" s="35">
        <v>450</v>
      </c>
      <c r="C30" s="35">
        <v>450</v>
      </c>
      <c r="D30" s="35">
        <v>450</v>
      </c>
      <c r="E30" s="35">
        <v>450</v>
      </c>
      <c r="F30" s="35">
        <v>450</v>
      </c>
      <c r="G30" s="35">
        <v>500</v>
      </c>
      <c r="H30" s="35">
        <v>500</v>
      </c>
      <c r="I30" s="35">
        <v>500</v>
      </c>
      <c r="J30" s="35">
        <v>500</v>
      </c>
      <c r="K30" s="35">
        <v>500</v>
      </c>
      <c r="L30" s="35">
        <v>500</v>
      </c>
      <c r="M30" s="35">
        <v>770.94</v>
      </c>
      <c r="N30" s="35">
        <f t="shared" si="7"/>
        <v>6020.9400000000005</v>
      </c>
    </row>
    <row r="31" spans="1:14" s="35" customFormat="1" x14ac:dyDescent="0.3">
      <c r="A31" t="s">
        <v>287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1575.5</v>
      </c>
      <c r="H31" s="35">
        <v>0</v>
      </c>
      <c r="I31" s="35">
        <v>0</v>
      </c>
      <c r="J31" s="35">
        <v>0.05</v>
      </c>
      <c r="K31" s="35">
        <v>0</v>
      </c>
      <c r="L31" s="35">
        <v>0</v>
      </c>
      <c r="M31" s="35">
        <v>0</v>
      </c>
      <c r="N31" s="35">
        <f t="shared" si="7"/>
        <v>1575.55</v>
      </c>
    </row>
    <row r="32" spans="1:14" s="35" customFormat="1" x14ac:dyDescent="0.3">
      <c r="A32" t="s">
        <v>354</v>
      </c>
      <c r="B32" s="35">
        <v>6984.2</v>
      </c>
      <c r="C32" s="35">
        <v>11650.4</v>
      </c>
      <c r="D32" s="35">
        <v>16897.400000000001</v>
      </c>
      <c r="E32" s="35">
        <v>4709.3999999999996</v>
      </c>
      <c r="F32" s="35">
        <v>1677.6</v>
      </c>
      <c r="G32" s="35">
        <v>1704</v>
      </c>
      <c r="H32" s="35">
        <v>2415</v>
      </c>
      <c r="I32" s="35">
        <v>1907.5</v>
      </c>
      <c r="J32" s="35">
        <v>1785</v>
      </c>
      <c r="K32" s="35">
        <v>2634.1</v>
      </c>
      <c r="L32" s="35">
        <v>9853.4</v>
      </c>
      <c r="M32" s="35">
        <v>10829.9</v>
      </c>
      <c r="N32" s="35">
        <f t="shared" si="7"/>
        <v>73047.899999999994</v>
      </c>
    </row>
    <row r="33" spans="1:14" s="35" customFormat="1" x14ac:dyDescent="0.3">
      <c r="A33" s="28" t="s">
        <v>233</v>
      </c>
      <c r="B33" s="37">
        <f>SUM(B24:B32)</f>
        <v>30465.360000000001</v>
      </c>
      <c r="C33" s="37">
        <f t="shared" ref="C33:E33" si="8">SUM(C24:C32)</f>
        <v>44244.71</v>
      </c>
      <c r="D33" s="37">
        <f t="shared" si="8"/>
        <v>63308.95</v>
      </c>
      <c r="E33" s="37">
        <f t="shared" si="8"/>
        <v>33488.33</v>
      </c>
      <c r="F33" s="37">
        <f t="shared" ref="F33:M33" si="9">SUM(F24:F32)</f>
        <v>27479.37</v>
      </c>
      <c r="G33" s="37">
        <f t="shared" si="9"/>
        <v>27095.67</v>
      </c>
      <c r="H33" s="37">
        <f t="shared" si="9"/>
        <v>24193.09</v>
      </c>
      <c r="I33" s="37">
        <f t="shared" si="9"/>
        <v>23287.040000000001</v>
      </c>
      <c r="J33" s="37">
        <f t="shared" si="9"/>
        <v>24372.260000000002</v>
      </c>
      <c r="K33" s="37">
        <f t="shared" ref="K33:L33" si="10">SUM(K24:K32)</f>
        <v>21971.439999999999</v>
      </c>
      <c r="L33" s="37">
        <f t="shared" si="10"/>
        <v>40662.76</v>
      </c>
      <c r="M33" s="37">
        <f t="shared" si="9"/>
        <v>52113.23</v>
      </c>
      <c r="N33" s="37">
        <f>SUM(N24:N32)</f>
        <v>412682.20999999996</v>
      </c>
    </row>
    <row r="34" spans="1:14" s="35" customFormat="1" x14ac:dyDescent="0.3">
      <c r="A34" t="s">
        <v>61</v>
      </c>
    </row>
    <row r="35" spans="1:14" s="35" customFormat="1" x14ac:dyDescent="0.3">
      <c r="A35" s="28" t="s">
        <v>288</v>
      </c>
    </row>
    <row r="36" spans="1:14" s="35" customFormat="1" x14ac:dyDescent="0.3">
      <c r="A36" t="s">
        <v>234</v>
      </c>
      <c r="B36" s="35">
        <v>1000</v>
      </c>
      <c r="C36" s="35">
        <v>1000</v>
      </c>
      <c r="D36" s="35">
        <v>1000</v>
      </c>
      <c r="E36" s="35">
        <v>1000</v>
      </c>
      <c r="F36" s="35">
        <v>1000</v>
      </c>
      <c r="G36" s="35">
        <v>1000</v>
      </c>
      <c r="H36" s="35">
        <v>1000</v>
      </c>
      <c r="I36" s="35">
        <v>1000</v>
      </c>
      <c r="J36" s="35">
        <v>1000</v>
      </c>
      <c r="K36" s="35">
        <v>1000</v>
      </c>
      <c r="L36" s="35">
        <v>1000</v>
      </c>
      <c r="M36" s="35">
        <v>1000</v>
      </c>
      <c r="N36" s="35">
        <f t="shared" ref="N36:N56" si="11">SUM(B36:M36)</f>
        <v>12000</v>
      </c>
    </row>
    <row r="37" spans="1:14" s="35" customFormat="1" x14ac:dyDescent="0.3">
      <c r="A37" t="s">
        <v>236</v>
      </c>
      <c r="B37" s="35">
        <v>18970.560000000001</v>
      </c>
      <c r="C37" s="35">
        <v>2008.94</v>
      </c>
      <c r="D37" s="35">
        <v>22275.65</v>
      </c>
      <c r="E37" s="35">
        <v>11359.93</v>
      </c>
      <c r="F37" s="35">
        <v>3739.77</v>
      </c>
      <c r="G37" s="35">
        <v>91.8</v>
      </c>
      <c r="H37" s="35">
        <v>583.80999999999995</v>
      </c>
      <c r="I37" s="35">
        <v>487.15</v>
      </c>
      <c r="J37" s="35">
        <v>507.76</v>
      </c>
      <c r="K37" s="35">
        <v>918.67</v>
      </c>
      <c r="L37" s="35">
        <v>5326.84</v>
      </c>
      <c r="M37" s="35">
        <v>8165.49</v>
      </c>
      <c r="N37" s="35">
        <f t="shared" si="11"/>
        <v>74436.37000000001</v>
      </c>
    </row>
    <row r="38" spans="1:14" s="35" customFormat="1" x14ac:dyDescent="0.3">
      <c r="A38" t="s">
        <v>235</v>
      </c>
      <c r="B38" s="35">
        <v>883.5</v>
      </c>
      <c r="C38" s="35">
        <v>864.5</v>
      </c>
      <c r="D38" s="35">
        <v>800</v>
      </c>
      <c r="E38" s="35">
        <v>739.5</v>
      </c>
      <c r="F38" s="35">
        <v>416</v>
      </c>
      <c r="G38" s="35">
        <v>379.5</v>
      </c>
      <c r="H38" s="35">
        <v>446</v>
      </c>
      <c r="I38" s="35">
        <v>439.5</v>
      </c>
      <c r="J38" s="35">
        <v>416</v>
      </c>
      <c r="K38" s="35">
        <v>364.5</v>
      </c>
      <c r="L38" s="35">
        <v>586</v>
      </c>
      <c r="M38" s="35">
        <v>782.5</v>
      </c>
      <c r="N38" s="35">
        <f t="shared" si="11"/>
        <v>7117.5</v>
      </c>
    </row>
    <row r="39" spans="1:14" s="35" customFormat="1" x14ac:dyDescent="0.3">
      <c r="A39" t="s">
        <v>337</v>
      </c>
      <c r="B39" s="35">
        <v>233.88</v>
      </c>
      <c r="C39" s="35">
        <v>0</v>
      </c>
      <c r="D39" s="35">
        <v>0</v>
      </c>
      <c r="E39" s="35">
        <v>0</v>
      </c>
      <c r="F39" s="35">
        <v>1298.1400000000001</v>
      </c>
      <c r="G39" s="35">
        <v>0</v>
      </c>
      <c r="H39" s="35">
        <v>0</v>
      </c>
      <c r="I39" s="35">
        <v>0</v>
      </c>
      <c r="J39" s="35">
        <v>500</v>
      </c>
      <c r="K39" s="35">
        <v>189.08</v>
      </c>
      <c r="L39" s="35">
        <v>0</v>
      </c>
      <c r="M39" s="35">
        <v>0</v>
      </c>
      <c r="N39" s="35">
        <f t="shared" si="11"/>
        <v>2221.1</v>
      </c>
    </row>
    <row r="40" spans="1:14" s="35" customFormat="1" x14ac:dyDescent="0.3">
      <c r="A40" t="s">
        <v>290</v>
      </c>
      <c r="B40" s="35">
        <v>624.76</v>
      </c>
      <c r="C40" s="35">
        <v>504.76</v>
      </c>
      <c r="D40" s="35">
        <v>624.76</v>
      </c>
      <c r="E40" s="35">
        <v>624.76</v>
      </c>
      <c r="F40" s="35">
        <v>624.76</v>
      </c>
      <c r="G40" s="35">
        <v>624.76</v>
      </c>
      <c r="H40" s="35">
        <v>624.76</v>
      </c>
      <c r="I40" s="35">
        <v>747.91</v>
      </c>
      <c r="J40" s="35">
        <v>747.91</v>
      </c>
      <c r="K40" s="35">
        <v>747.91</v>
      </c>
      <c r="L40" s="35">
        <v>747.91</v>
      </c>
      <c r="M40" s="35">
        <v>747.91</v>
      </c>
      <c r="N40" s="35">
        <f t="shared" si="11"/>
        <v>7992.87</v>
      </c>
    </row>
    <row r="41" spans="1:14" s="35" customFormat="1" x14ac:dyDescent="0.3">
      <c r="A41" t="s">
        <v>445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f t="shared" si="11"/>
        <v>0</v>
      </c>
    </row>
    <row r="42" spans="1:14" s="35" customFormat="1" x14ac:dyDescent="0.3">
      <c r="A42" t="s">
        <v>357</v>
      </c>
      <c r="B42" s="35">
        <v>990</v>
      </c>
      <c r="C42" s="35">
        <v>399.19</v>
      </c>
      <c r="D42" s="35">
        <f>292.3+700.49</f>
        <v>992.79</v>
      </c>
      <c r="E42" s="35">
        <v>0</v>
      </c>
      <c r="F42" s="35">
        <v>0</v>
      </c>
      <c r="G42" s="35">
        <v>66.2</v>
      </c>
      <c r="H42" s="35">
        <f>360+106.4</f>
        <v>466.4</v>
      </c>
      <c r="I42" s="35">
        <v>0</v>
      </c>
      <c r="J42" s="35">
        <v>0</v>
      </c>
      <c r="K42" s="35">
        <v>1497.22</v>
      </c>
      <c r="L42" s="35">
        <f>600</f>
        <v>600</v>
      </c>
      <c r="M42" s="35">
        <v>6447.84</v>
      </c>
      <c r="N42" s="35">
        <f t="shared" si="11"/>
        <v>11459.64</v>
      </c>
    </row>
    <row r="43" spans="1:14" s="35" customFormat="1" x14ac:dyDescent="0.3">
      <c r="A43" t="s">
        <v>358</v>
      </c>
      <c r="B43" s="35">
        <v>1367.42</v>
      </c>
      <c r="C43" s="35">
        <v>0</v>
      </c>
      <c r="D43" s="35">
        <v>573.99</v>
      </c>
      <c r="E43" s="35">
        <v>425.44</v>
      </c>
      <c r="F43" s="35">
        <v>1130</v>
      </c>
      <c r="G43" s="35">
        <v>3112</v>
      </c>
      <c r="H43" s="35">
        <v>0</v>
      </c>
      <c r="I43" s="35">
        <v>470</v>
      </c>
      <c r="J43" s="35">
        <v>0</v>
      </c>
      <c r="K43" s="35">
        <v>3732.42</v>
      </c>
      <c r="L43" s="35">
        <v>505.9</v>
      </c>
      <c r="M43" s="35">
        <v>221.55</v>
      </c>
      <c r="N43" s="35">
        <f t="shared" si="11"/>
        <v>11538.72</v>
      </c>
    </row>
    <row r="44" spans="1:14" s="35" customFormat="1" x14ac:dyDescent="0.3">
      <c r="A44" t="s">
        <v>359</v>
      </c>
      <c r="B44" s="35">
        <f>103.4+4531.26</f>
        <v>4634.66</v>
      </c>
      <c r="C44" s="35">
        <f>106.4+1356.39</f>
        <v>1462.7900000000002</v>
      </c>
      <c r="D44" s="35">
        <f>106.4+1345.43</f>
        <v>1451.8300000000002</v>
      </c>
      <c r="E44" s="35">
        <f>106.4+873.33</f>
        <v>979.73</v>
      </c>
      <c r="F44" s="35">
        <f>106.4+1079.16</f>
        <v>1185.5600000000002</v>
      </c>
      <c r="G44" s="35">
        <f>281.25+106.4</f>
        <v>387.65</v>
      </c>
      <c r="H44" s="35">
        <v>1838.18</v>
      </c>
      <c r="I44" s="35">
        <f>106.4+977.97</f>
        <v>1084.3700000000001</v>
      </c>
      <c r="J44" s="35">
        <f>106.4+248.19</f>
        <v>354.59000000000003</v>
      </c>
      <c r="K44" s="35">
        <f>106.4+3037.27</f>
        <v>3143.67</v>
      </c>
      <c r="L44" s="35">
        <f>106.4+1662.77</f>
        <v>1769.17</v>
      </c>
      <c r="M44" s="35">
        <f>106.4+1475.38</f>
        <v>1581.7800000000002</v>
      </c>
      <c r="N44" s="35">
        <f t="shared" si="11"/>
        <v>19873.979999999996</v>
      </c>
    </row>
    <row r="45" spans="1:14" s="35" customFormat="1" x14ac:dyDescent="0.3">
      <c r="A45" t="s">
        <v>239</v>
      </c>
      <c r="B45" s="35">
        <v>0</v>
      </c>
      <c r="C45" s="35">
        <v>0</v>
      </c>
      <c r="D45" s="35">
        <v>0</v>
      </c>
      <c r="E45" s="35">
        <v>233.66</v>
      </c>
      <c r="F45" s="35">
        <v>0</v>
      </c>
      <c r="G45" s="35">
        <v>0</v>
      </c>
      <c r="H45" s="35">
        <v>253.01</v>
      </c>
      <c r="I45" s="35">
        <v>0</v>
      </c>
      <c r="J45" s="35">
        <v>0</v>
      </c>
      <c r="K45" s="35">
        <v>253</v>
      </c>
      <c r="L45" s="35">
        <v>0</v>
      </c>
      <c r="M45" s="35">
        <v>0</v>
      </c>
      <c r="N45" s="35">
        <f t="shared" si="11"/>
        <v>739.67</v>
      </c>
    </row>
    <row r="46" spans="1:14" s="35" customFormat="1" x14ac:dyDescent="0.3">
      <c r="A46" t="s">
        <v>240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f t="shared" si="11"/>
        <v>0</v>
      </c>
    </row>
    <row r="47" spans="1:14" s="35" customFormat="1" x14ac:dyDescent="0.3">
      <c r="A47" t="s">
        <v>238</v>
      </c>
      <c r="B47" s="35">
        <v>2424</v>
      </c>
      <c r="C47" s="35">
        <v>2424</v>
      </c>
      <c r="D47" s="35">
        <v>2424</v>
      </c>
      <c r="E47" s="35">
        <v>2424</v>
      </c>
      <c r="F47" s="35">
        <v>2426</v>
      </c>
      <c r="G47" s="35">
        <v>2424</v>
      </c>
      <c r="H47" s="35">
        <v>2424</v>
      </c>
      <c r="I47" s="35">
        <v>2424</v>
      </c>
      <c r="J47" s="35">
        <v>2424</v>
      </c>
      <c r="K47" s="35">
        <v>2416</v>
      </c>
      <c r="L47" s="35">
        <v>2512.67</v>
      </c>
      <c r="M47" s="35">
        <v>2512.66</v>
      </c>
      <c r="N47" s="35">
        <f t="shared" si="11"/>
        <v>29259.329999999998</v>
      </c>
    </row>
    <row r="48" spans="1:14" s="35" customFormat="1" x14ac:dyDescent="0.3">
      <c r="A48" t="s">
        <v>356</v>
      </c>
      <c r="B48" s="35">
        <v>109</v>
      </c>
      <c r="C48" s="35">
        <v>0</v>
      </c>
      <c r="D48" s="35">
        <v>456</v>
      </c>
      <c r="E48" s="35">
        <v>0</v>
      </c>
      <c r="G48" s="35">
        <v>0</v>
      </c>
      <c r="H48" s="35">
        <v>0</v>
      </c>
      <c r="I48" s="35">
        <v>300</v>
      </c>
      <c r="J48" s="35">
        <v>0</v>
      </c>
      <c r="K48" s="35">
        <v>100</v>
      </c>
      <c r="L48" s="35">
        <v>700</v>
      </c>
      <c r="M48" s="35">
        <v>0</v>
      </c>
      <c r="N48" s="35">
        <f t="shared" si="11"/>
        <v>1665</v>
      </c>
    </row>
    <row r="49" spans="1:14" s="35" customFormat="1" x14ac:dyDescent="0.3">
      <c r="A49" t="s">
        <v>371</v>
      </c>
      <c r="B49" s="35">
        <v>0</v>
      </c>
      <c r="C49" s="35">
        <v>0</v>
      </c>
      <c r="D49" s="35">
        <v>803.9</v>
      </c>
      <c r="E49" s="35">
        <v>0</v>
      </c>
      <c r="F49" s="35">
        <v>1736.17</v>
      </c>
      <c r="G49" s="35">
        <v>378.9</v>
      </c>
      <c r="H49" s="35">
        <v>0</v>
      </c>
      <c r="I49" s="35">
        <v>0</v>
      </c>
      <c r="J49" s="35">
        <v>1137.54</v>
      </c>
      <c r="K49" s="35">
        <v>0</v>
      </c>
      <c r="L49" s="35">
        <v>378.9</v>
      </c>
      <c r="M49" s="35">
        <v>0</v>
      </c>
      <c r="N49" s="35">
        <f t="shared" si="11"/>
        <v>4435.41</v>
      </c>
    </row>
    <row r="50" spans="1:14" s="35" customFormat="1" x14ac:dyDescent="0.3">
      <c r="A50" t="s">
        <v>241</v>
      </c>
      <c r="B50" s="35">
        <v>491.08</v>
      </c>
      <c r="C50" s="35">
        <v>758.32</v>
      </c>
      <c r="D50" s="35">
        <v>0</v>
      </c>
      <c r="E50" s="35">
        <v>168.11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f t="shared" si="11"/>
        <v>1417.5100000000002</v>
      </c>
    </row>
    <row r="51" spans="1:14" s="35" customFormat="1" x14ac:dyDescent="0.3">
      <c r="A51" t="s">
        <v>248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f t="shared" si="11"/>
        <v>0</v>
      </c>
    </row>
    <row r="52" spans="1:14" s="35" customFormat="1" x14ac:dyDescent="0.3">
      <c r="A52" t="s">
        <v>242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f t="shared" si="11"/>
        <v>0</v>
      </c>
    </row>
    <row r="53" spans="1:14" s="35" customFormat="1" x14ac:dyDescent="0.3">
      <c r="A53" t="s">
        <v>292</v>
      </c>
      <c r="B53" s="35">
        <v>9382.49</v>
      </c>
      <c r="C53" s="35">
        <v>9382.09</v>
      </c>
      <c r="D53" s="35">
        <v>9382.09</v>
      </c>
      <c r="E53" s="35">
        <v>9382.09</v>
      </c>
      <c r="F53" s="35">
        <v>9382.09</v>
      </c>
      <c r="G53" s="35">
        <v>9382.09</v>
      </c>
      <c r="H53" s="35">
        <v>9382.09</v>
      </c>
      <c r="I53" s="35">
        <v>9429.58</v>
      </c>
      <c r="J53" s="35">
        <v>9491.2900000000009</v>
      </c>
      <c r="K53" s="35">
        <v>8693.16</v>
      </c>
      <c r="L53" s="35">
        <v>8693.16</v>
      </c>
      <c r="M53" s="35">
        <v>8692.77</v>
      </c>
      <c r="N53" s="35">
        <f t="shared" si="11"/>
        <v>110674.99</v>
      </c>
    </row>
    <row r="54" spans="1:14" s="35" customFormat="1" x14ac:dyDescent="0.3">
      <c r="A54" t="s">
        <v>295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f t="shared" si="11"/>
        <v>0</v>
      </c>
    </row>
    <row r="55" spans="1:14" s="35" customFormat="1" x14ac:dyDescent="0.3">
      <c r="A55" t="s">
        <v>368</v>
      </c>
      <c r="B55" s="35">
        <v>0</v>
      </c>
      <c r="C55" s="35">
        <v>2048</v>
      </c>
      <c r="D55" s="35">
        <v>0</v>
      </c>
      <c r="E55" s="35">
        <v>324.79000000000002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f t="shared" si="11"/>
        <v>2372.79</v>
      </c>
    </row>
    <row r="56" spans="1:14" s="35" customFormat="1" x14ac:dyDescent="0.3">
      <c r="A56" t="s">
        <v>369</v>
      </c>
      <c r="B56" s="35">
        <v>1140.8399999999999</v>
      </c>
      <c r="C56" s="35">
        <v>925.84</v>
      </c>
      <c r="D56" s="35">
        <v>0</v>
      </c>
      <c r="E56" s="35">
        <v>795.42</v>
      </c>
      <c r="F56" s="35">
        <v>345.42</v>
      </c>
      <c r="G56" s="35">
        <v>359.24</v>
      </c>
      <c r="H56" s="35">
        <v>809.24</v>
      </c>
      <c r="I56" s="35">
        <v>359.24</v>
      </c>
      <c r="J56" s="35">
        <v>359.24</v>
      </c>
      <c r="K56" s="35">
        <v>359.24</v>
      </c>
      <c r="L56" s="35">
        <v>809.24</v>
      </c>
      <c r="M56" s="35">
        <v>359.24</v>
      </c>
      <c r="N56" s="35">
        <f t="shared" si="11"/>
        <v>6622.1999999999989</v>
      </c>
    </row>
    <row r="57" spans="1:14" s="35" customFormat="1" x14ac:dyDescent="0.3">
      <c r="A57" s="28" t="s">
        <v>334</v>
      </c>
      <c r="B57" s="37">
        <f t="shared" ref="B57:M57" si="12">SUM(B36:B56)</f>
        <v>42252.19</v>
      </c>
      <c r="C57" s="37">
        <f t="shared" si="12"/>
        <v>21778.43</v>
      </c>
      <c r="D57" s="37">
        <f t="shared" si="12"/>
        <v>40785.010000000009</v>
      </c>
      <c r="E57" s="37">
        <f t="shared" si="12"/>
        <v>28457.43</v>
      </c>
      <c r="F57" s="37">
        <f>SUM(F36:F56)</f>
        <v>23283.91</v>
      </c>
      <c r="G57" s="37">
        <f t="shared" ref="G57:L57" si="13">SUM(G36:G56)</f>
        <v>18206.140000000003</v>
      </c>
      <c r="H57" s="37">
        <f t="shared" si="13"/>
        <v>17827.490000000002</v>
      </c>
      <c r="I57" s="37">
        <f t="shared" si="13"/>
        <v>16741.75</v>
      </c>
      <c r="J57" s="37">
        <f t="shared" si="13"/>
        <v>16938.330000000002</v>
      </c>
      <c r="K57" s="37">
        <f t="shared" si="13"/>
        <v>23414.87</v>
      </c>
      <c r="L57" s="37">
        <f t="shared" si="13"/>
        <v>23629.79</v>
      </c>
      <c r="M57" s="37">
        <f t="shared" si="12"/>
        <v>30511.739999999998</v>
      </c>
      <c r="N57" s="37">
        <f>SUM(N36:N56)</f>
        <v>303827.08</v>
      </c>
    </row>
    <row r="59" spans="1:14" s="35" customFormat="1" x14ac:dyDescent="0.3">
      <c r="A59" s="28" t="s">
        <v>293</v>
      </c>
    </row>
    <row r="60" spans="1:14" s="35" customFormat="1" x14ac:dyDescent="0.3">
      <c r="A60" t="s">
        <v>251</v>
      </c>
      <c r="B60" s="35">
        <v>312.36</v>
      </c>
      <c r="C60" s="35">
        <v>716.18</v>
      </c>
      <c r="D60" s="35">
        <v>449.5</v>
      </c>
      <c r="E60" s="35">
        <v>269.7</v>
      </c>
      <c r="F60" s="35">
        <v>285.98</v>
      </c>
      <c r="G60" s="35">
        <v>195.44</v>
      </c>
      <c r="H60" s="35">
        <v>201.76</v>
      </c>
      <c r="I60" s="35">
        <v>295.45999999999998</v>
      </c>
      <c r="J60" s="35">
        <v>200.18</v>
      </c>
      <c r="K60" s="35">
        <v>206.5</v>
      </c>
      <c r="L60" s="35">
        <v>282.33999999999997</v>
      </c>
      <c r="M60" s="35">
        <v>315.52</v>
      </c>
      <c r="N60" s="35">
        <f t="shared" ref="N60:N70" si="14">SUM(B60:M60)</f>
        <v>3730.92</v>
      </c>
    </row>
    <row r="61" spans="1:14" s="35" customFormat="1" ht="14.25" customHeight="1" x14ac:dyDescent="0.3">
      <c r="A61" t="s">
        <v>252</v>
      </c>
      <c r="B61" s="35">
        <v>695.17</v>
      </c>
      <c r="C61" s="35">
        <v>459.08</v>
      </c>
      <c r="D61" s="35">
        <v>395.17</v>
      </c>
      <c r="E61" s="35">
        <v>502.1</v>
      </c>
      <c r="F61" s="35">
        <v>-70.98</v>
      </c>
      <c r="G61" s="35">
        <v>481.53</v>
      </c>
      <c r="H61" s="35">
        <v>-592.38</v>
      </c>
      <c r="I61" s="35">
        <v>238</v>
      </c>
      <c r="J61" s="35">
        <v>220.43</v>
      </c>
      <c r="K61" s="35">
        <v>210.76</v>
      </c>
      <c r="L61" s="35">
        <v>396.31</v>
      </c>
      <c r="M61" s="35">
        <v>503.88</v>
      </c>
      <c r="N61" s="35">
        <f t="shared" si="14"/>
        <v>3439.0699999999993</v>
      </c>
    </row>
    <row r="62" spans="1:14" s="35" customFormat="1" ht="14.25" customHeight="1" x14ac:dyDescent="0.3">
      <c r="A62" t="s">
        <v>363</v>
      </c>
      <c r="B62" s="35">
        <v>485.42</v>
      </c>
      <c r="C62" s="35">
        <v>636.49</v>
      </c>
      <c r="D62" s="35">
        <v>407.96</v>
      </c>
      <c r="E62" s="35">
        <v>543.39</v>
      </c>
      <c r="F62" s="35">
        <v>372.65</v>
      </c>
      <c r="G62" s="35">
        <v>279.72000000000003</v>
      </c>
      <c r="H62" s="35">
        <v>177.55</v>
      </c>
      <c r="I62" s="35">
        <v>395.46</v>
      </c>
      <c r="J62" s="35">
        <v>197.06</v>
      </c>
      <c r="K62" s="35">
        <v>389.43</v>
      </c>
      <c r="L62" s="35">
        <v>197.56</v>
      </c>
      <c r="M62" s="35">
        <v>702.2</v>
      </c>
      <c r="N62" s="35">
        <f t="shared" si="14"/>
        <v>4784.8900000000003</v>
      </c>
    </row>
    <row r="63" spans="1:14" s="35" customFormat="1" x14ac:dyDescent="0.3">
      <c r="A63" t="s">
        <v>294</v>
      </c>
      <c r="B63" s="35">
        <v>0</v>
      </c>
      <c r="C63" s="35">
        <v>200</v>
      </c>
      <c r="D63" s="35">
        <v>250</v>
      </c>
      <c r="E63" s="35">
        <v>300</v>
      </c>
      <c r="F63" s="35">
        <v>850</v>
      </c>
      <c r="G63" s="35">
        <v>0</v>
      </c>
      <c r="H63" s="35">
        <v>1000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f t="shared" si="14"/>
        <v>2600</v>
      </c>
    </row>
    <row r="64" spans="1:14" s="35" customFormat="1" x14ac:dyDescent="0.3">
      <c r="A64" t="s">
        <v>306</v>
      </c>
      <c r="B64" s="35">
        <v>265.62</v>
      </c>
      <c r="C64" s="35">
        <v>265.62</v>
      </c>
      <c r="D64" s="35">
        <v>0</v>
      </c>
      <c r="E64" s="35">
        <v>132.81</v>
      </c>
      <c r="F64" s="35">
        <v>132.81</v>
      </c>
      <c r="G64" s="35">
        <v>132.81</v>
      </c>
      <c r="H64" s="35">
        <v>132.81</v>
      </c>
      <c r="I64" s="35">
        <v>132.81</v>
      </c>
      <c r="J64" s="35">
        <v>132.81</v>
      </c>
      <c r="K64" s="35">
        <v>132.81</v>
      </c>
      <c r="L64" s="35">
        <v>132.81</v>
      </c>
      <c r="M64" s="35">
        <v>132.81</v>
      </c>
      <c r="N64" s="35">
        <f t="shared" si="14"/>
        <v>1726.5299999999995</v>
      </c>
    </row>
    <row r="65" spans="1:16" s="35" customFormat="1" x14ac:dyDescent="0.3">
      <c r="A65" t="s">
        <v>370</v>
      </c>
      <c r="B65" s="35">
        <v>0</v>
      </c>
      <c r="C65" s="35">
        <v>7242.01</v>
      </c>
      <c r="D65" s="35">
        <v>0</v>
      </c>
      <c r="E65" s="35">
        <v>3087.89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3697.5</v>
      </c>
      <c r="N65" s="35">
        <f t="shared" si="14"/>
        <v>14027.4</v>
      </c>
    </row>
    <row r="66" spans="1:16" s="35" customFormat="1" x14ac:dyDescent="0.3">
      <c r="A66" t="s">
        <v>253</v>
      </c>
      <c r="B66" s="35">
        <v>792.59</v>
      </c>
      <c r="C66" s="35">
        <v>18.940000000000001</v>
      </c>
      <c r="D66" s="35">
        <v>0</v>
      </c>
      <c r="E66" s="35">
        <v>164.03</v>
      </c>
      <c r="F66" s="35">
        <v>0</v>
      </c>
      <c r="G66" s="35">
        <v>0</v>
      </c>
      <c r="H66" s="35">
        <v>0</v>
      </c>
      <c r="I66" s="35">
        <v>12.74</v>
      </c>
      <c r="J66" s="35">
        <v>79.900000000000006</v>
      </c>
      <c r="K66" s="35">
        <v>0</v>
      </c>
      <c r="L66" s="35">
        <v>0</v>
      </c>
      <c r="M66" s="35">
        <v>0</v>
      </c>
      <c r="N66" s="35">
        <f t="shared" si="14"/>
        <v>1068.2</v>
      </c>
    </row>
    <row r="67" spans="1:16" s="35" customFormat="1" x14ac:dyDescent="0.3">
      <c r="A67" t="s">
        <v>360</v>
      </c>
      <c r="B67" s="35">
        <v>550</v>
      </c>
      <c r="C67" s="35">
        <v>550</v>
      </c>
      <c r="D67" s="35">
        <v>550</v>
      </c>
      <c r="E67" s="35">
        <v>550</v>
      </c>
      <c r="F67" s="35">
        <v>550</v>
      </c>
      <c r="G67" s="35">
        <v>375</v>
      </c>
      <c r="H67" s="35">
        <v>375</v>
      </c>
      <c r="I67" s="35">
        <v>375</v>
      </c>
      <c r="J67" s="35">
        <v>375</v>
      </c>
      <c r="K67" s="35">
        <v>375</v>
      </c>
      <c r="L67" s="35">
        <v>375</v>
      </c>
      <c r="M67" s="35">
        <v>375</v>
      </c>
      <c r="N67" s="35">
        <f t="shared" si="14"/>
        <v>5375</v>
      </c>
    </row>
    <row r="68" spans="1:16" s="35" customFormat="1" x14ac:dyDescent="0.3">
      <c r="A68" t="s">
        <v>361</v>
      </c>
      <c r="B68" s="35">
        <v>1500</v>
      </c>
      <c r="C68" s="35">
        <v>1500</v>
      </c>
      <c r="D68" s="35">
        <v>1500</v>
      </c>
      <c r="E68" s="35">
        <v>1500</v>
      </c>
      <c r="F68" s="35">
        <v>1500</v>
      </c>
      <c r="G68" s="35">
        <v>1500</v>
      </c>
      <c r="H68" s="35">
        <v>1500</v>
      </c>
      <c r="I68" s="35">
        <v>1500</v>
      </c>
      <c r="J68" s="35">
        <v>1500</v>
      </c>
      <c r="K68" s="35">
        <v>1500</v>
      </c>
      <c r="L68" s="35">
        <v>1500</v>
      </c>
      <c r="M68" s="35">
        <v>1500</v>
      </c>
      <c r="N68" s="35">
        <f t="shared" si="14"/>
        <v>18000</v>
      </c>
    </row>
    <row r="69" spans="1:16" s="35" customFormat="1" x14ac:dyDescent="0.3">
      <c r="A69" t="s">
        <v>362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f t="shared" si="14"/>
        <v>0</v>
      </c>
    </row>
    <row r="70" spans="1:16" s="35" customFormat="1" x14ac:dyDescent="0.3">
      <c r="A70" t="s">
        <v>256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642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f t="shared" si="14"/>
        <v>642</v>
      </c>
    </row>
    <row r="71" spans="1:16" s="35" customFormat="1" x14ac:dyDescent="0.3">
      <c r="A71" s="28" t="s">
        <v>296</v>
      </c>
      <c r="B71" s="37">
        <f>SUM(B60:B70)</f>
        <v>4601.16</v>
      </c>
      <c r="C71" s="37">
        <f t="shared" ref="C71:E71" si="15">SUM(C60:C70)</f>
        <v>11588.320000000002</v>
      </c>
      <c r="D71" s="37">
        <f t="shared" si="15"/>
        <v>3552.63</v>
      </c>
      <c r="E71" s="37">
        <f t="shared" si="15"/>
        <v>7049.9199999999992</v>
      </c>
      <c r="F71" s="37">
        <f t="shared" ref="F71:M71" si="16">SUM(F60:F70)</f>
        <v>3620.46</v>
      </c>
      <c r="G71" s="37">
        <f t="shared" si="16"/>
        <v>3606.5</v>
      </c>
      <c r="H71" s="37">
        <f t="shared" si="16"/>
        <v>2794.74</v>
      </c>
      <c r="I71" s="37">
        <f t="shared" si="16"/>
        <v>2949.4700000000003</v>
      </c>
      <c r="J71" s="37">
        <f t="shared" si="16"/>
        <v>2705.38</v>
      </c>
      <c r="K71" s="37">
        <f t="shared" ref="K71:L71" si="17">SUM(K60:K70)</f>
        <v>2814.5</v>
      </c>
      <c r="L71" s="37">
        <f t="shared" si="17"/>
        <v>2884.02</v>
      </c>
      <c r="M71" s="37">
        <f t="shared" si="16"/>
        <v>7226.91</v>
      </c>
      <c r="N71" s="37">
        <f>SUM(N60:N70)</f>
        <v>55394.009999999995</v>
      </c>
    </row>
    <row r="72" spans="1:16" s="35" customFormat="1" x14ac:dyDescent="0.3">
      <c r="A72" t="s">
        <v>245</v>
      </c>
    </row>
    <row r="73" spans="1:16" s="35" customFormat="1" ht="15" thickBot="1" x14ac:dyDescent="0.35">
      <c r="A73" s="28" t="s">
        <v>210</v>
      </c>
      <c r="B73" s="38">
        <f t="shared" ref="B73:M73" si="18">B33+B57+B71</f>
        <v>77318.710000000006</v>
      </c>
      <c r="C73" s="38">
        <f t="shared" si="18"/>
        <v>77611.460000000006</v>
      </c>
      <c r="D73" s="38">
        <f t="shared" si="18"/>
        <v>107646.59000000001</v>
      </c>
      <c r="E73" s="38">
        <f t="shared" si="18"/>
        <v>68995.680000000008</v>
      </c>
      <c r="F73" s="38">
        <f>F33+F57+F71</f>
        <v>54383.74</v>
      </c>
      <c r="G73" s="38">
        <f t="shared" ref="G73:L73" si="19">G33+G57+G71</f>
        <v>48908.31</v>
      </c>
      <c r="H73" s="38">
        <f t="shared" si="19"/>
        <v>44815.32</v>
      </c>
      <c r="I73" s="38">
        <f t="shared" si="19"/>
        <v>42978.26</v>
      </c>
      <c r="J73" s="38">
        <f t="shared" si="19"/>
        <v>44015.97</v>
      </c>
      <c r="K73" s="38">
        <f t="shared" si="19"/>
        <v>48200.81</v>
      </c>
      <c r="L73" s="38">
        <f t="shared" si="19"/>
        <v>67176.570000000007</v>
      </c>
      <c r="M73" s="38">
        <f t="shared" si="18"/>
        <v>89851.88</v>
      </c>
      <c r="N73" s="38">
        <f>N33+N57+N71</f>
        <v>771903.3</v>
      </c>
    </row>
    <row r="75" spans="1:16" s="35" customFormat="1" x14ac:dyDescent="0.3">
      <c r="A75" s="28" t="s">
        <v>297</v>
      </c>
      <c r="P75" s="35">
        <v>0</v>
      </c>
    </row>
    <row r="76" spans="1:16" s="35" customFormat="1" x14ac:dyDescent="0.3">
      <c r="A76" t="s">
        <v>365</v>
      </c>
      <c r="B76" s="35">
        <v>5000</v>
      </c>
      <c r="C76" s="35">
        <v>5000</v>
      </c>
      <c r="D76" s="35">
        <v>5000</v>
      </c>
      <c r="E76" s="35">
        <v>5000</v>
      </c>
      <c r="F76" s="35">
        <v>5000</v>
      </c>
      <c r="G76" s="35">
        <v>5000</v>
      </c>
      <c r="H76" s="35">
        <v>5000</v>
      </c>
      <c r="I76" s="35">
        <v>5000</v>
      </c>
      <c r="J76" s="35">
        <v>5000</v>
      </c>
      <c r="K76" s="35">
        <v>5000</v>
      </c>
      <c r="L76" s="35">
        <v>5000</v>
      </c>
      <c r="M76" s="35">
        <v>5000</v>
      </c>
      <c r="N76" s="35">
        <f>SUM(B76:M76)</f>
        <v>60000</v>
      </c>
    </row>
    <row r="77" spans="1:16" s="35" customFormat="1" x14ac:dyDescent="0.3">
      <c r="A77" t="s">
        <v>364</v>
      </c>
      <c r="B77" s="35">
        <v>1000</v>
      </c>
      <c r="C77" s="35">
        <v>1000</v>
      </c>
      <c r="D77" s="35">
        <v>1000</v>
      </c>
      <c r="E77" s="35">
        <v>1000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1000</v>
      </c>
      <c r="N77" s="35">
        <f>SUM(B77:M77)</f>
        <v>5000</v>
      </c>
    </row>
    <row r="78" spans="1:16" s="35" customFormat="1" x14ac:dyDescent="0.3">
      <c r="A78" t="s">
        <v>489</v>
      </c>
      <c r="B78" s="35">
        <v>1833.08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79.900000000000006</v>
      </c>
      <c r="K78" s="35">
        <v>0</v>
      </c>
      <c r="L78" s="35">
        <v>0</v>
      </c>
      <c r="M78" s="35">
        <v>0</v>
      </c>
      <c r="N78" s="35">
        <f>SUM(B78:M78)</f>
        <v>1912.98</v>
      </c>
    </row>
    <row r="79" spans="1:16" s="35" customFormat="1" x14ac:dyDescent="0.3">
      <c r="A79" t="s">
        <v>366</v>
      </c>
      <c r="B79" s="35">
        <v>-3691.03</v>
      </c>
      <c r="C79" s="35">
        <v>-3673.36</v>
      </c>
      <c r="D79" s="35">
        <v>-3655.63</v>
      </c>
      <c r="E79" s="35">
        <v>-3637.86</v>
      </c>
      <c r="F79" s="35">
        <v>-3620.04</v>
      </c>
      <c r="G79" s="35">
        <v>-3602.17</v>
      </c>
      <c r="H79" s="35">
        <v>-3584.24</v>
      </c>
      <c r="I79" s="35">
        <v>-3566.27</v>
      </c>
      <c r="J79" s="35">
        <v>-3548.25</v>
      </c>
      <c r="K79" s="35">
        <v>-3530.18</v>
      </c>
      <c r="L79" s="35">
        <v>-3512.06</v>
      </c>
      <c r="M79" s="35">
        <v>-3493.89</v>
      </c>
      <c r="N79" s="35">
        <f>SUM(B79:M79)</f>
        <v>-43114.979999999996</v>
      </c>
    </row>
    <row r="80" spans="1:16" s="35" customFormat="1" x14ac:dyDescent="0.3">
      <c r="A80" t="s">
        <v>367</v>
      </c>
      <c r="B80" s="35">
        <v>-6058.71</v>
      </c>
      <c r="C80" s="35">
        <v>-6058.71</v>
      </c>
      <c r="D80" s="35">
        <v>-6058.71</v>
      </c>
      <c r="E80" s="35">
        <v>-6058.71</v>
      </c>
      <c r="F80" s="35">
        <v>-6058.71</v>
      </c>
      <c r="G80" s="35">
        <v>-6058.71</v>
      </c>
      <c r="H80" s="35">
        <v>-6058.71</v>
      </c>
      <c r="I80" s="35">
        <v>-6058.71</v>
      </c>
      <c r="J80" s="35">
        <v>-6058.71</v>
      </c>
      <c r="K80" s="35">
        <v>-6058.71</v>
      </c>
      <c r="L80" s="35">
        <v>-6058.71</v>
      </c>
      <c r="M80" s="35">
        <v>-6058.71</v>
      </c>
      <c r="N80" s="35">
        <f>SUM(B80:M80)</f>
        <v>-72704.52</v>
      </c>
    </row>
    <row r="81" spans="1:15" x14ac:dyDescent="0.3">
      <c r="A81" s="28" t="s">
        <v>299</v>
      </c>
      <c r="B81" s="37">
        <f t="shared" ref="B81:M81" si="20">SUM(B76:B80)</f>
        <v>-1916.6600000000008</v>
      </c>
      <c r="C81" s="37">
        <f t="shared" si="20"/>
        <v>-3732.07</v>
      </c>
      <c r="D81" s="37">
        <f t="shared" si="20"/>
        <v>-3714.34</v>
      </c>
      <c r="E81" s="37">
        <f t="shared" si="20"/>
        <v>-3696.57</v>
      </c>
      <c r="F81" s="37">
        <f>SUM(F76:F80)</f>
        <v>-4678.75</v>
      </c>
      <c r="G81" s="37">
        <f t="shared" ref="G81:L81" si="21">SUM(G76:G80)</f>
        <v>-4660.88</v>
      </c>
      <c r="H81" s="37">
        <f t="shared" si="21"/>
        <v>-4642.95</v>
      </c>
      <c r="I81" s="37">
        <f t="shared" si="21"/>
        <v>-4624.9799999999996</v>
      </c>
      <c r="J81" s="37">
        <f t="shared" si="21"/>
        <v>-4527.0600000000004</v>
      </c>
      <c r="K81" s="37">
        <f t="shared" si="21"/>
        <v>-4588.8899999999994</v>
      </c>
      <c r="L81" s="37">
        <f t="shared" si="21"/>
        <v>-4570.7700000000004</v>
      </c>
      <c r="M81" s="37">
        <f t="shared" si="20"/>
        <v>-3552.6</v>
      </c>
      <c r="N81" s="37">
        <f>SUM(N76:N80)</f>
        <v>-48906.520000000004</v>
      </c>
    </row>
    <row r="83" spans="1:15" ht="15" thickBot="1" x14ac:dyDescent="0.35">
      <c r="A83" s="28" t="s">
        <v>300</v>
      </c>
      <c r="B83" s="39">
        <f t="shared" ref="B83:M83" si="22">B20-B73+B81</f>
        <v>63046.079999999973</v>
      </c>
      <c r="C83" s="39">
        <f t="shared" si="22"/>
        <v>50012.599999999969</v>
      </c>
      <c r="D83" s="39">
        <f t="shared" si="22"/>
        <v>13220.929999999989</v>
      </c>
      <c r="E83" s="39">
        <f t="shared" si="22"/>
        <v>4942.919999999991</v>
      </c>
      <c r="F83" s="39">
        <f>F20-F73+F81</f>
        <v>-30308.14</v>
      </c>
      <c r="G83" s="39">
        <f t="shared" ref="G83:L83" si="23">G20-G73+G81</f>
        <v>-40141.129999999997</v>
      </c>
      <c r="H83" s="39">
        <f t="shared" si="23"/>
        <v>-42423.27</v>
      </c>
      <c r="I83" s="39">
        <f t="shared" si="23"/>
        <v>-35256.51</v>
      </c>
      <c r="J83" s="39">
        <f t="shared" si="23"/>
        <v>-40246.03</v>
      </c>
      <c r="K83" s="39">
        <f t="shared" si="23"/>
        <v>-37502.379999999997</v>
      </c>
      <c r="L83" s="39">
        <f t="shared" si="23"/>
        <v>57770.799999999988</v>
      </c>
      <c r="M83" s="39">
        <f t="shared" si="22"/>
        <v>7015.4399999999932</v>
      </c>
      <c r="N83" s="39">
        <f>N20-N73+N81</f>
        <v>-29868.68999999993</v>
      </c>
      <c r="O83"/>
    </row>
    <row r="84" spans="1:15" ht="15" thickTop="1" x14ac:dyDescent="0.3"/>
    <row r="85" spans="1:15" x14ac:dyDescent="0.3">
      <c r="B85" s="35">
        <v>63046.080000000002</v>
      </c>
      <c r="C85" s="35">
        <v>50012.6</v>
      </c>
      <c r="D85" s="35">
        <v>13220.93</v>
      </c>
      <c r="E85" s="35">
        <v>4942.92</v>
      </c>
      <c r="F85" s="35">
        <v>-30308.14</v>
      </c>
      <c r="G85" s="35">
        <v>-40141.129999999997</v>
      </c>
      <c r="H85" s="35">
        <v>-42423.27</v>
      </c>
      <c r="I85" s="35">
        <v>-35256.51</v>
      </c>
      <c r="J85" s="35">
        <v>-40246.03</v>
      </c>
      <c r="K85" s="35">
        <v>-37502.379999999997</v>
      </c>
      <c r="L85" s="35">
        <v>57770.8</v>
      </c>
      <c r="M85" s="35">
        <v>7015.44</v>
      </c>
      <c r="N85" s="35">
        <v>-29868.69</v>
      </c>
    </row>
    <row r="86" spans="1:15" x14ac:dyDescent="0.3">
      <c r="B86" s="35">
        <f t="shared" ref="B86:N86" si="24">B83-B85</f>
        <v>0</v>
      </c>
      <c r="C86" s="35">
        <f t="shared" si="24"/>
        <v>0</v>
      </c>
      <c r="D86" s="35">
        <f t="shared" si="24"/>
        <v>0</v>
      </c>
      <c r="E86" s="35">
        <f t="shared" si="24"/>
        <v>-9.0949470177292824E-12</v>
      </c>
      <c r="F86" s="35">
        <f t="shared" si="24"/>
        <v>0</v>
      </c>
      <c r="G86" s="35">
        <f t="shared" ref="G86:L86" si="25">G83-G85</f>
        <v>0</v>
      </c>
      <c r="H86" s="35">
        <f t="shared" si="25"/>
        <v>0</v>
      </c>
      <c r="I86" s="35">
        <f t="shared" si="25"/>
        <v>0</v>
      </c>
      <c r="J86" s="35">
        <f t="shared" si="25"/>
        <v>0</v>
      </c>
      <c r="K86" s="35">
        <f t="shared" si="25"/>
        <v>0</v>
      </c>
      <c r="L86" s="35">
        <f t="shared" si="25"/>
        <v>0</v>
      </c>
      <c r="M86" s="35">
        <f t="shared" si="24"/>
        <v>0</v>
      </c>
      <c r="N86" s="35">
        <f t="shared" si="24"/>
        <v>6.9121597334742546E-11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45" fitToHeight="0" orientation="portrait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8"/>
  <sheetViews>
    <sheetView zoomScaleNormal="100" workbookViewId="0">
      <pane ySplit="6" topLeftCell="A7" activePane="bottomLeft" state="frozen"/>
      <selection activeCell="C20" sqref="C20"/>
      <selection pane="bottomLeft" activeCell="B6" sqref="B6:N29"/>
    </sheetView>
  </sheetViews>
  <sheetFormatPr defaultRowHeight="14.4" x14ac:dyDescent="0.3"/>
  <cols>
    <col min="1" max="1" width="44.44140625" bestFit="1" customWidth="1"/>
    <col min="2" max="3" width="13" style="35" bestFit="1" customWidth="1"/>
    <col min="4" max="4" width="13.44140625" style="35" bestFit="1" customWidth="1"/>
    <col min="5" max="13" width="13" style="35" bestFit="1" customWidth="1"/>
    <col min="14" max="14" width="13.44140625" style="35" bestFit="1" customWidth="1"/>
    <col min="15" max="15" width="9.109375" style="35" customWidth="1"/>
    <col min="16" max="16" width="9.5546875" bestFit="1" customWidth="1"/>
    <col min="18" max="18" width="11.5546875" bestFit="1" customWidth="1"/>
  </cols>
  <sheetData>
    <row r="1" spans="1:14" x14ac:dyDescent="0.3">
      <c r="A1" s="176" t="s">
        <v>416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3">
      <c r="A2" s="176" t="s">
        <v>274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x14ac:dyDescent="0.3">
      <c r="A3" s="176">
        <v>2018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x14ac:dyDescent="0.3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3">
      <c r="B6" s="40" t="s">
        <v>301</v>
      </c>
      <c r="C6" s="40" t="s">
        <v>302</v>
      </c>
      <c r="D6" s="40" t="s">
        <v>303</v>
      </c>
      <c r="E6" s="40" t="s">
        <v>304</v>
      </c>
      <c r="F6" s="40" t="s">
        <v>378</v>
      </c>
      <c r="G6" s="40" t="s">
        <v>420</v>
      </c>
      <c r="H6" s="40" t="s">
        <v>440</v>
      </c>
      <c r="I6" s="40" t="s">
        <v>450</v>
      </c>
      <c r="J6" s="40" t="s">
        <v>464</v>
      </c>
      <c r="K6" s="40" t="s">
        <v>482</v>
      </c>
      <c r="L6" s="40" t="s">
        <v>485</v>
      </c>
      <c r="M6" s="40" t="s">
        <v>539</v>
      </c>
      <c r="N6" s="40" t="s">
        <v>207</v>
      </c>
    </row>
    <row r="8" spans="1:14" s="35" customFormat="1" x14ac:dyDescent="0.3">
      <c r="A8" s="28" t="s">
        <v>209</v>
      </c>
    </row>
    <row r="9" spans="1:14" s="35" customFormat="1" x14ac:dyDescent="0.3">
      <c r="A9" s="28" t="s">
        <v>288</v>
      </c>
    </row>
    <row r="10" spans="1:14" s="35" customFormat="1" x14ac:dyDescent="0.3">
      <c r="A10" t="s">
        <v>356</v>
      </c>
      <c r="B10" s="35">
        <v>0</v>
      </c>
      <c r="C10" s="35">
        <v>0</v>
      </c>
      <c r="D10" s="35">
        <v>0</v>
      </c>
      <c r="E10" s="35">
        <v>520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f>SUM(B10:M10)</f>
        <v>520</v>
      </c>
    </row>
    <row r="11" spans="1:14" s="35" customFormat="1" x14ac:dyDescent="0.3">
      <c r="A11" t="s">
        <v>292</v>
      </c>
      <c r="B11" s="35">
        <v>9251.27</v>
      </c>
      <c r="C11" s="35">
        <v>9251.27</v>
      </c>
      <c r="D11" s="35">
        <v>9251.27</v>
      </c>
      <c r="E11" s="35">
        <v>9251.27</v>
      </c>
      <c r="F11" s="35">
        <v>9251.27</v>
      </c>
      <c r="G11" s="35">
        <v>9251.27</v>
      </c>
      <c r="H11" s="35">
        <v>9251.27</v>
      </c>
      <c r="I11" s="35">
        <v>9251.27</v>
      </c>
      <c r="J11" s="35">
        <v>9251.27</v>
      </c>
      <c r="K11" s="35">
        <v>9251.27</v>
      </c>
      <c r="L11" s="35">
        <v>9249.27</v>
      </c>
      <c r="M11" s="35">
        <v>9251.2199999999993</v>
      </c>
      <c r="N11" s="35">
        <f>SUM(B11:M11)</f>
        <v>111013.19000000003</v>
      </c>
    </row>
    <row r="12" spans="1:14" s="35" customFormat="1" x14ac:dyDescent="0.3">
      <c r="A12" s="28" t="s">
        <v>334</v>
      </c>
      <c r="B12" s="37">
        <f t="shared" ref="B12:N12" si="0">SUM(B10:B11)</f>
        <v>9251.27</v>
      </c>
      <c r="C12" s="37">
        <f t="shared" si="0"/>
        <v>9251.27</v>
      </c>
      <c r="D12" s="37">
        <f t="shared" si="0"/>
        <v>9251.27</v>
      </c>
      <c r="E12" s="37">
        <f t="shared" si="0"/>
        <v>9771.27</v>
      </c>
      <c r="F12" s="37">
        <f>SUM(F10:F11)</f>
        <v>9251.27</v>
      </c>
      <c r="G12" s="37">
        <f>SUM(G10:G11)</f>
        <v>9251.27</v>
      </c>
      <c r="H12" s="37">
        <f t="shared" ref="H12:L12" si="1">SUM(H10:H11)</f>
        <v>9251.27</v>
      </c>
      <c r="I12" s="37">
        <f t="shared" si="1"/>
        <v>9251.27</v>
      </c>
      <c r="J12" s="37">
        <f t="shared" si="1"/>
        <v>9251.27</v>
      </c>
      <c r="K12" s="37">
        <f t="shared" si="1"/>
        <v>9251.27</v>
      </c>
      <c r="L12" s="37">
        <f t="shared" si="1"/>
        <v>9249.27</v>
      </c>
      <c r="M12" s="37">
        <f t="shared" si="0"/>
        <v>9251.2199999999993</v>
      </c>
      <c r="N12" s="37">
        <f t="shared" si="0"/>
        <v>111533.19000000003</v>
      </c>
    </row>
    <row r="14" spans="1:14" s="35" customFormat="1" x14ac:dyDescent="0.3">
      <c r="A14" s="28" t="s">
        <v>293</v>
      </c>
    </row>
    <row r="15" spans="1:14" s="35" customFormat="1" x14ac:dyDescent="0.3">
      <c r="A15" t="s">
        <v>360</v>
      </c>
      <c r="B15" s="35">
        <v>265</v>
      </c>
      <c r="C15" s="35">
        <v>265</v>
      </c>
      <c r="D15" s="35">
        <v>265</v>
      </c>
      <c r="E15" s="35">
        <v>265</v>
      </c>
      <c r="F15" s="35">
        <v>265</v>
      </c>
      <c r="G15" s="35">
        <v>265</v>
      </c>
      <c r="H15" s="35">
        <v>530</v>
      </c>
      <c r="I15" s="35">
        <v>265</v>
      </c>
      <c r="J15" s="35">
        <v>265</v>
      </c>
      <c r="K15" s="35">
        <v>265</v>
      </c>
      <c r="L15" s="35">
        <v>265</v>
      </c>
      <c r="M15" s="35">
        <v>265</v>
      </c>
      <c r="N15" s="35">
        <f>SUM(B15:M15)</f>
        <v>3445</v>
      </c>
    </row>
    <row r="16" spans="1:14" s="35" customFormat="1" x14ac:dyDescent="0.3">
      <c r="A16" s="28"/>
      <c r="B16" s="37">
        <f t="shared" ref="B16:N16" si="2">SUM(B15:B15)</f>
        <v>265</v>
      </c>
      <c r="C16" s="37">
        <f t="shared" si="2"/>
        <v>265</v>
      </c>
      <c r="D16" s="37">
        <f t="shared" si="2"/>
        <v>265</v>
      </c>
      <c r="E16" s="37">
        <f t="shared" si="2"/>
        <v>265</v>
      </c>
      <c r="F16" s="37">
        <f>SUM(F15:F15)</f>
        <v>265</v>
      </c>
      <c r="G16" s="37">
        <f>SUM(G15:G15)</f>
        <v>265</v>
      </c>
      <c r="H16" s="37">
        <f t="shared" ref="H16:L16" si="3">SUM(H15:H15)</f>
        <v>530</v>
      </c>
      <c r="I16" s="37">
        <f t="shared" si="3"/>
        <v>265</v>
      </c>
      <c r="J16" s="37">
        <f t="shared" si="3"/>
        <v>265</v>
      </c>
      <c r="K16" s="37">
        <f t="shared" si="3"/>
        <v>265</v>
      </c>
      <c r="L16" s="37">
        <f t="shared" si="3"/>
        <v>265</v>
      </c>
      <c r="M16" s="37">
        <f t="shared" si="2"/>
        <v>265</v>
      </c>
      <c r="N16" s="37">
        <f t="shared" si="2"/>
        <v>3445</v>
      </c>
    </row>
    <row r="17" spans="1:15" s="35" customFormat="1" x14ac:dyDescent="0.3">
      <c r="A17" t="s">
        <v>245</v>
      </c>
    </row>
    <row r="18" spans="1:15" s="35" customFormat="1" ht="15" thickBot="1" x14ac:dyDescent="0.35">
      <c r="A18" s="28" t="s">
        <v>210</v>
      </c>
      <c r="B18" s="38">
        <f t="shared" ref="B18:N18" si="4">B12+B16</f>
        <v>9516.27</v>
      </c>
      <c r="C18" s="38">
        <f t="shared" si="4"/>
        <v>9516.27</v>
      </c>
      <c r="D18" s="38">
        <f t="shared" si="4"/>
        <v>9516.27</v>
      </c>
      <c r="E18" s="38">
        <f t="shared" si="4"/>
        <v>10036.27</v>
      </c>
      <c r="F18" s="38">
        <f>F12+F16</f>
        <v>9516.27</v>
      </c>
      <c r="G18" s="38">
        <f>G12+G16</f>
        <v>9516.27</v>
      </c>
      <c r="H18" s="38">
        <f t="shared" ref="H18:L18" si="5">H12+H16</f>
        <v>9781.27</v>
      </c>
      <c r="I18" s="38">
        <f t="shared" si="5"/>
        <v>9516.27</v>
      </c>
      <c r="J18" s="38">
        <f t="shared" si="5"/>
        <v>9516.27</v>
      </c>
      <c r="K18" s="38">
        <f t="shared" si="5"/>
        <v>9516.27</v>
      </c>
      <c r="L18" s="38">
        <f t="shared" si="5"/>
        <v>9514.27</v>
      </c>
      <c r="M18" s="38">
        <f t="shared" si="4"/>
        <v>9516.2199999999993</v>
      </c>
      <c r="N18" s="38">
        <f t="shared" si="4"/>
        <v>114978.19000000003</v>
      </c>
    </row>
    <row r="20" spans="1:15" s="35" customFormat="1" x14ac:dyDescent="0.3">
      <c r="A20" s="28" t="s">
        <v>297</v>
      </c>
    </row>
    <row r="21" spans="1:15" s="35" customFormat="1" x14ac:dyDescent="0.3">
      <c r="A21" t="s">
        <v>365</v>
      </c>
      <c r="B21" s="35">
        <v>16700</v>
      </c>
      <c r="C21" s="35">
        <v>16700</v>
      </c>
      <c r="D21" s="35">
        <v>16700</v>
      </c>
      <c r="E21" s="35">
        <v>16700</v>
      </c>
      <c r="F21" s="35">
        <v>16700</v>
      </c>
      <c r="G21" s="35">
        <v>16700</v>
      </c>
      <c r="H21" s="35">
        <v>16700</v>
      </c>
      <c r="I21" s="35">
        <v>16700</v>
      </c>
      <c r="J21" s="35">
        <v>16700</v>
      </c>
      <c r="K21" s="35">
        <v>16700</v>
      </c>
      <c r="L21" s="35">
        <v>16700</v>
      </c>
      <c r="M21" s="35">
        <v>16700</v>
      </c>
      <c r="N21" s="35">
        <f t="shared" ref="N21:N26" si="6">SUM(B21:M21)</f>
        <v>200400</v>
      </c>
    </row>
    <row r="22" spans="1:15" s="35" customFormat="1" x14ac:dyDescent="0.3">
      <c r="A22" t="s">
        <v>407</v>
      </c>
      <c r="B22" s="35">
        <v>1000</v>
      </c>
      <c r="C22" s="35">
        <v>1000</v>
      </c>
      <c r="D22" s="35">
        <v>1000</v>
      </c>
      <c r="E22" s="35">
        <v>1000</v>
      </c>
      <c r="F22" s="35">
        <v>1000</v>
      </c>
      <c r="G22" s="35">
        <v>1000</v>
      </c>
      <c r="H22" s="35">
        <v>1000</v>
      </c>
      <c r="I22" s="35">
        <v>1000</v>
      </c>
      <c r="J22" s="35">
        <v>1000</v>
      </c>
      <c r="K22" s="35">
        <v>1000</v>
      </c>
      <c r="L22" s="35">
        <v>1000</v>
      </c>
      <c r="M22" s="35">
        <v>1000</v>
      </c>
      <c r="N22" s="35">
        <f t="shared" si="6"/>
        <v>12000</v>
      </c>
    </row>
    <row r="23" spans="1:15" s="35" customFormat="1" x14ac:dyDescent="0.3">
      <c r="A23" t="s">
        <v>481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45000</v>
      </c>
      <c r="K23" s="35">
        <v>5000</v>
      </c>
      <c r="L23" s="35">
        <v>5000</v>
      </c>
      <c r="M23" s="35">
        <v>5000</v>
      </c>
      <c r="N23" s="35">
        <f t="shared" si="6"/>
        <v>60000</v>
      </c>
    </row>
    <row r="24" spans="1:15" s="35" customFormat="1" x14ac:dyDescent="0.3">
      <c r="A24" t="s">
        <v>489</v>
      </c>
      <c r="B24" s="35">
        <v>1.01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f t="shared" si="6"/>
        <v>1.01</v>
      </c>
    </row>
    <row r="25" spans="1:15" s="35" customFormat="1" x14ac:dyDescent="0.3">
      <c r="A25" t="s">
        <v>270</v>
      </c>
      <c r="B25" s="35">
        <v>3691.03</v>
      </c>
      <c r="C25" s="35">
        <v>3673.36</v>
      </c>
      <c r="D25" s="35">
        <v>3655.63</v>
      </c>
      <c r="E25" s="35">
        <v>3637.86</v>
      </c>
      <c r="F25" s="35">
        <v>3620.04</v>
      </c>
      <c r="G25" s="35">
        <v>3602.17</v>
      </c>
      <c r="H25" s="35">
        <v>3584.24</v>
      </c>
      <c r="I25" s="35">
        <v>3566.27</v>
      </c>
      <c r="J25" s="35">
        <v>3548.25</v>
      </c>
      <c r="K25" s="35">
        <v>3669.07</v>
      </c>
      <c r="L25" s="35">
        <v>3720.39</v>
      </c>
      <c r="M25" s="35">
        <v>3709.17</v>
      </c>
      <c r="N25" s="35">
        <f t="shared" si="6"/>
        <v>43677.48</v>
      </c>
    </row>
    <row r="26" spans="1:15" s="35" customFormat="1" x14ac:dyDescent="0.3">
      <c r="A26" t="s">
        <v>271</v>
      </c>
      <c r="B26" s="35">
        <v>-860.93</v>
      </c>
      <c r="C26" s="35">
        <v>-860.93</v>
      </c>
      <c r="D26" s="35">
        <v>-860.93</v>
      </c>
      <c r="E26" s="35">
        <v>-860.93</v>
      </c>
      <c r="F26" s="35">
        <v>-860.93</v>
      </c>
      <c r="G26" s="35">
        <v>-860.93</v>
      </c>
      <c r="H26" s="35">
        <v>-860.93</v>
      </c>
      <c r="I26" s="35">
        <v>-860.93</v>
      </c>
      <c r="J26" s="35">
        <v>-860.93</v>
      </c>
      <c r="K26" s="35">
        <v>-860.93</v>
      </c>
      <c r="L26" s="35">
        <v>-860.93</v>
      </c>
      <c r="M26" s="35">
        <v>-860.93</v>
      </c>
      <c r="N26" s="35">
        <f t="shared" si="6"/>
        <v>-10331.160000000002</v>
      </c>
    </row>
    <row r="27" spans="1:15" s="35" customFormat="1" x14ac:dyDescent="0.3">
      <c r="A27" s="28" t="s">
        <v>299</v>
      </c>
      <c r="B27" s="37">
        <f t="shared" ref="B27:M27" si="7">SUM(B21:B26)</f>
        <v>20531.109999999997</v>
      </c>
      <c r="C27" s="37">
        <f t="shared" si="7"/>
        <v>20512.43</v>
      </c>
      <c r="D27" s="37">
        <f t="shared" si="7"/>
        <v>20494.7</v>
      </c>
      <c r="E27" s="37">
        <f t="shared" si="7"/>
        <v>20476.93</v>
      </c>
      <c r="F27" s="37">
        <f>SUM(F21:F26)</f>
        <v>20459.11</v>
      </c>
      <c r="G27" s="37">
        <f>SUM(G21:G26)</f>
        <v>20441.239999999998</v>
      </c>
      <c r="H27" s="37">
        <f t="shared" ref="H27:L27" si="8">SUM(H21:H26)</f>
        <v>20423.309999999998</v>
      </c>
      <c r="I27" s="37">
        <f t="shared" si="8"/>
        <v>20405.34</v>
      </c>
      <c r="J27" s="37">
        <f t="shared" si="8"/>
        <v>65387.32</v>
      </c>
      <c r="K27" s="37">
        <f t="shared" si="8"/>
        <v>25508.14</v>
      </c>
      <c r="L27" s="37">
        <f t="shared" si="8"/>
        <v>25559.46</v>
      </c>
      <c r="M27" s="37">
        <f t="shared" si="7"/>
        <v>25548.239999999998</v>
      </c>
      <c r="N27" s="37">
        <f>SUM(N21:N26)</f>
        <v>305747.33</v>
      </c>
    </row>
    <row r="29" spans="1:15" ht="15" thickBot="1" x14ac:dyDescent="0.35">
      <c r="A29" s="28" t="s">
        <v>300</v>
      </c>
      <c r="B29" s="39">
        <f>B27-B18</f>
        <v>11014.839999999997</v>
      </c>
      <c r="C29" s="39">
        <f t="shared" ref="C29:M29" si="9">C27-C18</f>
        <v>10996.16</v>
      </c>
      <c r="D29" s="39">
        <f t="shared" si="9"/>
        <v>10978.43</v>
      </c>
      <c r="E29" s="39">
        <f t="shared" si="9"/>
        <v>10440.66</v>
      </c>
      <c r="F29" s="39">
        <f>F27-F18</f>
        <v>10942.84</v>
      </c>
      <c r="G29" s="39">
        <f>G27-G18</f>
        <v>10924.969999999998</v>
      </c>
      <c r="H29" s="39">
        <f t="shared" ref="H29:L29" si="10">H27-H18</f>
        <v>10642.039999999997</v>
      </c>
      <c r="I29" s="39">
        <f t="shared" si="10"/>
        <v>10889.07</v>
      </c>
      <c r="J29" s="39">
        <f t="shared" si="10"/>
        <v>55871.05</v>
      </c>
      <c r="K29" s="39">
        <f t="shared" si="10"/>
        <v>15991.869999999999</v>
      </c>
      <c r="L29" s="39">
        <f t="shared" si="10"/>
        <v>16045.189999999999</v>
      </c>
      <c r="M29" s="39">
        <f t="shared" si="9"/>
        <v>16032.019999999999</v>
      </c>
      <c r="N29" s="39">
        <f>N27-N18</f>
        <v>190769.13999999998</v>
      </c>
      <c r="O29"/>
    </row>
    <row r="30" spans="1:15" ht="15" thickTop="1" x14ac:dyDescent="0.3"/>
    <row r="38" spans="14:14" x14ac:dyDescent="0.3">
      <c r="N38" s="100"/>
    </row>
  </sheetData>
  <mergeCells count="3">
    <mergeCell ref="A1:N1"/>
    <mergeCell ref="A2:N2"/>
    <mergeCell ref="A3:N3"/>
  </mergeCells>
  <pageMargins left="0.7" right="0.7" top="0.75" bottom="0.75" header="0.3" footer="0.3"/>
  <pageSetup scale="61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Summary YTD 12.31.18 (condensd)</vt:lpstr>
      <vt:lpstr>Summary YTD 12.31.18</vt:lpstr>
      <vt:lpstr>Comp Summary YTD 2018-2017 Dec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CNT!Print_Titles</vt:lpstr>
      <vt:lpstr>'Comp Summary YTD 2018-2017 Dec'!Print_Titles</vt:lpstr>
      <vt:lpstr>'Comp YTD 2018-2017 Dec'!Print_Titles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Mark Pezza</cp:lastModifiedBy>
  <cp:lastPrinted>2019-01-24T19:13:48Z</cp:lastPrinted>
  <dcterms:created xsi:type="dcterms:W3CDTF">2018-05-13T15:03:39Z</dcterms:created>
  <dcterms:modified xsi:type="dcterms:W3CDTF">2019-03-04T21:52:00Z</dcterms:modified>
</cp:coreProperties>
</file>