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7F9D5BE8-66C9-4D30-960C-DB3A0FA810DE}" xr6:coauthVersionLast="36" xr6:coauthVersionMax="36" xr10:uidLastSave="{00000000-0000-0000-0000-000000000000}"/>
  <bookViews>
    <workbookView xWindow="0" yWindow="0" windowWidth="19200" windowHeight="7620" tabRatio="911" activeTab="2" xr2:uid="{00000000-000D-0000-FFFF-FFFF00000000}"/>
  </bookViews>
  <sheets>
    <sheet name="Cooley" sheetId="19" r:id="rId1"/>
    <sheet name="Cover Sheet" sheetId="18" r:id="rId2"/>
    <sheet name="Summary YTD 08.31.18 (condensd)" sheetId="16" r:id="rId3"/>
    <sheet name="Summary YTD 08.31.18" sheetId="11" r:id="rId4"/>
    <sheet name="Comp Summary YTD 2018-2017 Aug" sheetId="15" r:id="rId5"/>
    <sheet name="Comparative YTD 2018-2017 Aug" sheetId="12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1">'722 Bedford St'!$A$1:$J$29</definedName>
    <definedName name="_xlnm.Print_Area" localSheetId="9">'BSC (Dome)'!$A$1:$J$82</definedName>
    <definedName name="_xlnm.Print_Area" localSheetId="12">CNT!$A$1:$N$276</definedName>
    <definedName name="_xlnm.Print_Area" localSheetId="4">'Comp Summary YTD 2018-2017 Aug'!$A$9:$AE$37</definedName>
    <definedName name="_xlnm.Print_Area" localSheetId="5">'Comparative YTD 2018-2017 Aug'!$A$5:$AF$116</definedName>
    <definedName name="_xlnm.Print_Area" localSheetId="0">Cooley!$B$1:$I$76</definedName>
    <definedName name="_xlnm.Print_Area" localSheetId="6">DEP!$A$1:$J$76</definedName>
    <definedName name="_xlnm.Print_Area" localSheetId="10">'Oliari Co.'!$A$1:$J$28</definedName>
    <definedName name="_xlnm.Print_Area" localSheetId="3">'Summary YTD 08.31.18'!$A$1:$I$107</definedName>
    <definedName name="_xlnm.Print_Area" localSheetId="2">'Summary YTD 08.31.18 (condensd)'!$A$1:$I$63</definedName>
    <definedName name="_xlnm.Print_Titles" localSheetId="12">CNT!$A:$A,CNT!$1:$3</definedName>
    <definedName name="_xlnm.Print_Titles" localSheetId="4">'Comp Summary YTD 2018-2017 Aug'!$9:$18</definedName>
    <definedName name="_xlnm.Print_Titles" localSheetId="5">'Comparative YTD 2018-2017 Aug'!$5:$14</definedName>
    <definedName name="_xlnm.Print_Titles" localSheetId="3">'Summary YTD 08.31.18'!$1:$6</definedName>
    <definedName name="_xlnm.Print_Titles" localSheetId="2">'Summary YTD 08.31.18 (condensd)'!$1:$6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Cooley!$B$1:$I$41</definedName>
    <definedName name="Z_75B835E7_E001_4849_8B84_0691FAA3D3C5_.wvu.PrintArea" localSheetId="0" hidden="1">Cooley!$B$1:$I$43</definedName>
    <definedName name="Z_F0A3BC58_8936_4D69_BD85_98F689033701_.wvu.PrintArea" localSheetId="0" hidden="1">Cooley!$B$1:$I$43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19" l="1"/>
  <c r="G37" i="19"/>
  <c r="G36" i="19"/>
  <c r="G35" i="19"/>
  <c r="G34" i="19"/>
  <c r="G33" i="19"/>
  <c r="G32" i="19"/>
  <c r="G39" i="19" s="1"/>
  <c r="F56" i="19" l="1"/>
  <c r="D51" i="19" l="1"/>
  <c r="D49" i="19"/>
  <c r="D48" i="19"/>
  <c r="D47" i="19"/>
  <c r="D46" i="19"/>
  <c r="D45" i="19"/>
  <c r="D44" i="19"/>
  <c r="F38" i="19"/>
  <c r="H38" i="19" s="1"/>
  <c r="D38" i="19"/>
  <c r="F37" i="19"/>
  <c r="H37" i="19" s="1"/>
  <c r="D37" i="19"/>
  <c r="F36" i="19"/>
  <c r="H36" i="19" s="1"/>
  <c r="D36" i="19"/>
  <c r="F35" i="19"/>
  <c r="H35" i="19" s="1"/>
  <c r="D35" i="19"/>
  <c r="F34" i="19"/>
  <c r="H34" i="19" s="1"/>
  <c r="D34" i="19"/>
  <c r="F33" i="19"/>
  <c r="H33" i="19" s="1"/>
  <c r="D33" i="19"/>
  <c r="D32" i="19"/>
  <c r="F24" i="19"/>
  <c r="F23" i="19"/>
  <c r="F22" i="19"/>
  <c r="F21" i="19"/>
  <c r="D24" i="19"/>
  <c r="H24" i="19" s="1"/>
  <c r="D23" i="19"/>
  <c r="G23" i="19" s="1"/>
  <c r="F20" i="19"/>
  <c r="D39" i="19" l="1"/>
  <c r="F25" i="19"/>
  <c r="G24" i="19"/>
  <c r="H23" i="19"/>
  <c r="I38" i="5" l="1"/>
  <c r="C32" i="12" l="1"/>
  <c r="C16" i="12"/>
  <c r="C22" i="12"/>
  <c r="C17" i="12"/>
  <c r="J12" i="6"/>
  <c r="C21" i="12" s="1"/>
  <c r="J11" i="6"/>
  <c r="I15" i="6"/>
  <c r="J15" i="6" s="1"/>
  <c r="E84" i="12"/>
  <c r="E82" i="12"/>
  <c r="B20" i="7"/>
  <c r="B18" i="7"/>
  <c r="C13" i="7"/>
  <c r="D13" i="7"/>
  <c r="E13" i="7"/>
  <c r="F13" i="7"/>
  <c r="G13" i="7"/>
  <c r="H13" i="7"/>
  <c r="I13" i="7"/>
  <c r="B13" i="7"/>
  <c r="I43" i="10"/>
  <c r="J30" i="14"/>
  <c r="J31" i="17"/>
  <c r="H98" i="12"/>
  <c r="I17" i="6" l="1"/>
  <c r="B104" i="11"/>
  <c r="B103" i="11"/>
  <c r="B102" i="11"/>
  <c r="B101" i="11"/>
  <c r="B100" i="11"/>
  <c r="B99" i="11"/>
  <c r="B98" i="11"/>
  <c r="B97" i="11"/>
  <c r="B96" i="11"/>
  <c r="B95" i="11"/>
  <c r="B93" i="11"/>
  <c r="B92" i="11"/>
  <c r="B86" i="11"/>
  <c r="B85" i="11"/>
  <c r="B84" i="11"/>
  <c r="B83" i="11"/>
  <c r="B82" i="11"/>
  <c r="B80" i="11"/>
  <c r="B79" i="11"/>
  <c r="B78" i="11"/>
  <c r="B76" i="11"/>
  <c r="B75" i="11"/>
  <c r="B74" i="11"/>
  <c r="B73" i="11"/>
  <c r="B72" i="11"/>
  <c r="B70" i="11"/>
  <c r="B69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0" i="11"/>
  <c r="B49" i="11"/>
  <c r="B47" i="11"/>
  <c r="B46" i="11"/>
  <c r="B45" i="11"/>
  <c r="B44" i="11"/>
  <c r="B24" i="11"/>
  <c r="B23" i="11"/>
  <c r="B22" i="11"/>
  <c r="B21" i="11"/>
  <c r="B20" i="11"/>
  <c r="B19" i="11"/>
  <c r="B18" i="11"/>
  <c r="B14" i="11"/>
  <c r="B13" i="11"/>
  <c r="B12" i="11"/>
  <c r="B11" i="11"/>
  <c r="B10" i="11"/>
  <c r="B9" i="11"/>
  <c r="B8" i="11"/>
  <c r="B73" i="12"/>
  <c r="B72" i="12"/>
  <c r="B71" i="12"/>
  <c r="B70" i="12"/>
  <c r="B69" i="12"/>
  <c r="B68" i="12"/>
  <c r="B67" i="12"/>
  <c r="B66" i="12"/>
  <c r="B65" i="12"/>
  <c r="B64" i="12"/>
  <c r="B62" i="12"/>
  <c r="B61" i="12"/>
  <c r="B60" i="12"/>
  <c r="B58" i="12"/>
  <c r="B57" i="12"/>
  <c r="B55" i="12"/>
  <c r="B54" i="12"/>
  <c r="B53" i="12"/>
  <c r="B52" i="12"/>
  <c r="B32" i="12"/>
  <c r="B31" i="12"/>
  <c r="B30" i="12"/>
  <c r="B29" i="12"/>
  <c r="B28" i="12"/>
  <c r="B27" i="12"/>
  <c r="B26" i="12"/>
  <c r="B22" i="12"/>
  <c r="B21" i="12"/>
  <c r="B20" i="12"/>
  <c r="B19" i="12"/>
  <c r="B18" i="12"/>
  <c r="B17" i="12"/>
  <c r="B16" i="12"/>
  <c r="H223" i="2" l="1"/>
  <c r="H70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N42" i="2"/>
  <c r="P42" i="2" s="1"/>
  <c r="Q42" i="2" s="1"/>
  <c r="G41" i="2"/>
  <c r="C41" i="2"/>
  <c r="B41" i="2"/>
  <c r="I10" i="2"/>
  <c r="I9" i="2"/>
  <c r="I8" i="2"/>
  <c r="I7" i="2"/>
  <c r="I6" i="2"/>
  <c r="I5" i="2"/>
  <c r="I255" i="2"/>
  <c r="N254" i="2"/>
  <c r="N186" i="2"/>
  <c r="N183" i="2"/>
  <c r="N12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4" i="2"/>
  <c r="N125" i="2"/>
  <c r="N103" i="2"/>
  <c r="I126" i="2"/>
  <c r="I46" i="2" l="1"/>
  <c r="N41" i="2"/>
  <c r="P41" i="2" s="1"/>
  <c r="Q41" i="2" s="1"/>
  <c r="N126" i="2"/>
  <c r="M46" i="12" l="1"/>
  <c r="M32" i="12"/>
  <c r="M30" i="12"/>
  <c r="M29" i="12"/>
  <c r="M28" i="12"/>
  <c r="M27" i="12"/>
  <c r="M26" i="12"/>
  <c r="M19" i="12"/>
  <c r="M22" i="12"/>
  <c r="M20" i="12"/>
  <c r="M18" i="12"/>
  <c r="M17" i="12"/>
  <c r="M16" i="12"/>
  <c r="N32" i="12"/>
  <c r="N30" i="12"/>
  <c r="N29" i="12"/>
  <c r="N28" i="12"/>
  <c r="N27" i="12"/>
  <c r="N26" i="12"/>
  <c r="N20" i="12"/>
  <c r="N17" i="12"/>
  <c r="N16" i="12"/>
  <c r="N22" i="12"/>
  <c r="Q40" i="12"/>
  <c r="Q107" i="12"/>
  <c r="Q101" i="12"/>
  <c r="Q63" i="12"/>
  <c r="Q58" i="12"/>
  <c r="Q59" i="12"/>
  <c r="R107" i="12" l="1"/>
  <c r="R101" i="12"/>
  <c r="N239" i="2" l="1"/>
  <c r="H270" i="2"/>
  <c r="H72" i="2" s="1"/>
  <c r="H255" i="2"/>
  <c r="H71" i="2" s="1"/>
  <c r="H203" i="2"/>
  <c r="H202" i="2"/>
  <c r="H201" i="2"/>
  <c r="H200" i="2"/>
  <c r="H199" i="2"/>
  <c r="H198" i="2"/>
  <c r="H197" i="2"/>
  <c r="H196" i="2"/>
  <c r="H195" i="2"/>
  <c r="H190" i="2"/>
  <c r="H126" i="2"/>
  <c r="H90" i="2"/>
  <c r="H89" i="2"/>
  <c r="H83" i="2"/>
  <c r="H73" i="2"/>
  <c r="H65" i="2"/>
  <c r="H91" i="2" s="1"/>
  <c r="H63" i="2"/>
  <c r="H62" i="2"/>
  <c r="H61" i="2"/>
  <c r="H60" i="2"/>
  <c r="H59" i="2"/>
  <c r="H58" i="2"/>
  <c r="H87" i="2" s="1"/>
  <c r="H55" i="2"/>
  <c r="H54" i="2"/>
  <c r="H53" i="2"/>
  <c r="H52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6" i="14"/>
  <c r="H16" i="14"/>
  <c r="H12" i="14"/>
  <c r="H18" i="14" s="1"/>
  <c r="H80" i="10"/>
  <c r="H70" i="10"/>
  <c r="H41" i="10"/>
  <c r="H56" i="10" s="1"/>
  <c r="H32" i="10"/>
  <c r="H18" i="10"/>
  <c r="H20" i="10" s="1"/>
  <c r="H14" i="10"/>
  <c r="H18" i="7"/>
  <c r="H20" i="7" s="1"/>
  <c r="H59" i="6"/>
  <c r="H53" i="6"/>
  <c r="H44" i="6"/>
  <c r="H36" i="6"/>
  <c r="H17" i="6"/>
  <c r="I73" i="5"/>
  <c r="H73" i="5"/>
  <c r="H66" i="5"/>
  <c r="H53" i="5"/>
  <c r="H38" i="5"/>
  <c r="H34" i="5"/>
  <c r="H35" i="5" s="1"/>
  <c r="H68" i="5" s="1"/>
  <c r="H23" i="5"/>
  <c r="H8" i="5"/>
  <c r="H17" i="5" s="1"/>
  <c r="H25" i="5" s="1"/>
  <c r="Z113" i="12"/>
  <c r="S114" i="12"/>
  <c r="T111" i="12"/>
  <c r="Z111" i="12"/>
  <c r="T110" i="12"/>
  <c r="Z110" i="12"/>
  <c r="T109" i="12"/>
  <c r="R114" i="12"/>
  <c r="Q114" i="12"/>
  <c r="P114" i="12"/>
  <c r="M114" i="12"/>
  <c r="M74" i="12"/>
  <c r="H204" i="2" l="1"/>
  <c r="H69" i="2" s="1"/>
  <c r="H74" i="2" s="1"/>
  <c r="H61" i="6"/>
  <c r="H38" i="6"/>
  <c r="H63" i="6" s="1"/>
  <c r="H56" i="2"/>
  <c r="H11" i="2"/>
  <c r="H191" i="2"/>
  <c r="H66" i="2"/>
  <c r="H67" i="2" s="1"/>
  <c r="H82" i="2"/>
  <c r="H84" i="2" s="1"/>
  <c r="H72" i="10"/>
  <c r="H82" i="10" s="1"/>
  <c r="H85" i="10" s="1"/>
  <c r="H19" i="17"/>
  <c r="H29" i="17" s="1"/>
  <c r="H46" i="2"/>
  <c r="H34" i="2"/>
  <c r="H88" i="2"/>
  <c r="H92" i="2" s="1"/>
  <c r="H93" i="2" s="1"/>
  <c r="H28" i="14"/>
  <c r="H75" i="5"/>
  <c r="H78" i="5" s="1"/>
  <c r="H35" i="2" l="1"/>
  <c r="H36" i="2" s="1"/>
  <c r="H272" i="2"/>
  <c r="D50" i="19" s="1"/>
  <c r="D56" i="19" s="1"/>
  <c r="B190" i="2"/>
  <c r="G190" i="2"/>
  <c r="B255" i="2"/>
  <c r="B270" i="2"/>
  <c r="C270" i="2"/>
  <c r="D270" i="2"/>
  <c r="E270" i="2"/>
  <c r="F270" i="2"/>
  <c r="G270" i="2"/>
  <c r="H47" i="2" l="1"/>
  <c r="H75" i="2"/>
  <c r="H79" i="2" s="1"/>
  <c r="N269" i="2"/>
  <c r="I270" i="2"/>
  <c r="N185" i="2"/>
  <c r="H274" i="2" l="1"/>
  <c r="B60" i="16"/>
  <c r="B113" i="12"/>
  <c r="G73" i="5"/>
  <c r="G66" i="5"/>
  <c r="G38" i="5"/>
  <c r="G53" i="5" s="1"/>
  <c r="G35" i="5"/>
  <c r="G34" i="5"/>
  <c r="G23" i="5"/>
  <c r="G8" i="5"/>
  <c r="G17" i="5" s="1"/>
  <c r="G25" i="5" s="1"/>
  <c r="G68" i="5" l="1"/>
  <c r="G75" i="5" s="1"/>
  <c r="G78" i="5" s="1"/>
  <c r="I104" i="11"/>
  <c r="I113" i="12"/>
  <c r="J25" i="6"/>
  <c r="C23" i="11" s="1"/>
  <c r="C31" i="12" l="1"/>
  <c r="N258" i="2" l="1"/>
  <c r="I73" i="2"/>
  <c r="I72" i="2"/>
  <c r="G126" i="2"/>
  <c r="G204" i="2"/>
  <c r="G223" i="2"/>
  <c r="G255" i="2"/>
  <c r="I223" i="2"/>
  <c r="I70" i="2" s="1"/>
  <c r="N189" i="2"/>
  <c r="I190" i="2"/>
  <c r="I90" i="2"/>
  <c r="I89" i="2"/>
  <c r="I65" i="2"/>
  <c r="I91" i="2" s="1"/>
  <c r="I63" i="2"/>
  <c r="I62" i="2"/>
  <c r="I61" i="2"/>
  <c r="I60" i="2"/>
  <c r="I59" i="2"/>
  <c r="I88" i="2" s="1"/>
  <c r="I58" i="2"/>
  <c r="I87" i="2" s="1"/>
  <c r="I55" i="2"/>
  <c r="I54" i="2"/>
  <c r="I53" i="2"/>
  <c r="I83" i="2" s="1"/>
  <c r="I52" i="2"/>
  <c r="I82" i="2" s="1"/>
  <c r="I204" i="2" l="1"/>
  <c r="I69" i="2" s="1"/>
  <c r="I11" i="2"/>
  <c r="I34" i="2"/>
  <c r="G43" i="10"/>
  <c r="G80" i="10"/>
  <c r="G70" i="10"/>
  <c r="G56" i="10"/>
  <c r="G32" i="10"/>
  <c r="G18" i="10"/>
  <c r="G14" i="10"/>
  <c r="G20" i="10" s="1"/>
  <c r="I35" i="2" l="1"/>
  <c r="G72" i="10"/>
  <c r="G82" i="10" s="1"/>
  <c r="G85" i="10" s="1"/>
  <c r="T40" i="12"/>
  <c r="Z40" i="12" s="1"/>
  <c r="G18" i="7"/>
  <c r="G20" i="7" s="1"/>
  <c r="J28" i="6"/>
  <c r="G59" i="6"/>
  <c r="G53" i="6"/>
  <c r="G44" i="6"/>
  <c r="G36" i="6"/>
  <c r="G17" i="6"/>
  <c r="T29" i="12"/>
  <c r="Z29" i="12" s="1"/>
  <c r="T16" i="12"/>
  <c r="G27" i="17"/>
  <c r="G17" i="17"/>
  <c r="G12" i="17"/>
  <c r="G19" i="17" s="1"/>
  <c r="G29" i="17" s="1"/>
  <c r="R49" i="12"/>
  <c r="G26" i="14"/>
  <c r="G16" i="14"/>
  <c r="G12" i="14"/>
  <c r="G18" i="14" s="1"/>
  <c r="G28" i="14" s="1"/>
  <c r="J10" i="14"/>
  <c r="T119" i="12"/>
  <c r="I68" i="11"/>
  <c r="AF86" i="12"/>
  <c r="AF85" i="12"/>
  <c r="AF84" i="12"/>
  <c r="B204" i="2"/>
  <c r="B69" i="2" s="1"/>
  <c r="C204" i="2"/>
  <c r="C69" i="2" s="1"/>
  <c r="D204" i="2"/>
  <c r="E204" i="2"/>
  <c r="F204" i="2"/>
  <c r="F69" i="2" s="1"/>
  <c r="G43" i="2"/>
  <c r="G40" i="2"/>
  <c r="G39" i="2"/>
  <c r="G38" i="2"/>
  <c r="G20" i="2"/>
  <c r="G18" i="2"/>
  <c r="G8" i="2"/>
  <c r="N266" i="2"/>
  <c r="N246" i="2"/>
  <c r="C255" i="2"/>
  <c r="C71" i="2" s="1"/>
  <c r="D255" i="2"/>
  <c r="F255" i="2"/>
  <c r="N253" i="2"/>
  <c r="B223" i="2"/>
  <c r="B70" i="2" s="1"/>
  <c r="C223" i="2"/>
  <c r="D223" i="2"/>
  <c r="D70" i="2" s="1"/>
  <c r="E223" i="2"/>
  <c r="E70" i="2" s="1"/>
  <c r="F223" i="2"/>
  <c r="F70" i="2" s="1"/>
  <c r="C190" i="2"/>
  <c r="N160" i="2"/>
  <c r="N188" i="2"/>
  <c r="N187" i="2"/>
  <c r="G58" i="2"/>
  <c r="G87" i="2" s="1"/>
  <c r="G60" i="2"/>
  <c r="G61" i="2"/>
  <c r="G63" i="2"/>
  <c r="G65" i="2"/>
  <c r="G91" i="2" s="1"/>
  <c r="G52" i="2"/>
  <c r="G82" i="2" s="1"/>
  <c r="G53" i="2"/>
  <c r="G54" i="2"/>
  <c r="G55" i="2"/>
  <c r="G62" i="2"/>
  <c r="G59" i="2"/>
  <c r="J60" i="5"/>
  <c r="D75" i="11" s="1"/>
  <c r="C23" i="5"/>
  <c r="D23" i="5"/>
  <c r="E23" i="5"/>
  <c r="F23" i="5"/>
  <c r="I23" i="5"/>
  <c r="B23" i="5"/>
  <c r="J22" i="5"/>
  <c r="J16" i="5"/>
  <c r="J15" i="5"/>
  <c r="C17" i="5"/>
  <c r="C25" i="5" s="1"/>
  <c r="D17" i="5"/>
  <c r="E17" i="5"/>
  <c r="F17" i="5"/>
  <c r="B17" i="5"/>
  <c r="I17" i="5"/>
  <c r="D84" i="12"/>
  <c r="I18" i="7"/>
  <c r="J11" i="7"/>
  <c r="J12" i="7"/>
  <c r="E75" i="11" s="1"/>
  <c r="F27" i="17"/>
  <c r="F17" i="17"/>
  <c r="F12" i="17"/>
  <c r="F19" i="17" s="1"/>
  <c r="F29" i="17" s="1"/>
  <c r="F26" i="14"/>
  <c r="F16" i="14"/>
  <c r="F12" i="14"/>
  <c r="F18" i="14" s="1"/>
  <c r="F80" i="10"/>
  <c r="F70" i="10"/>
  <c r="F43" i="10"/>
  <c r="F56" i="10" s="1"/>
  <c r="F32" i="10"/>
  <c r="F18" i="10"/>
  <c r="F14" i="10"/>
  <c r="F20" i="10" s="1"/>
  <c r="J9" i="7"/>
  <c r="F18" i="7"/>
  <c r="F20" i="7"/>
  <c r="I44" i="6"/>
  <c r="J8" i="6"/>
  <c r="F59" i="6"/>
  <c r="F53" i="6"/>
  <c r="F44" i="6"/>
  <c r="F31" i="6"/>
  <c r="F13" i="6"/>
  <c r="F17" i="6" s="1"/>
  <c r="J72" i="5"/>
  <c r="D106" i="12" s="1"/>
  <c r="J71" i="5"/>
  <c r="D92" i="11" s="1"/>
  <c r="J57" i="5"/>
  <c r="D79" i="12" s="1"/>
  <c r="J58" i="5"/>
  <c r="J59" i="5"/>
  <c r="D78" i="11" s="1"/>
  <c r="D44" i="16" s="1"/>
  <c r="J61" i="5"/>
  <c r="D82" i="12" s="1"/>
  <c r="J62" i="5"/>
  <c r="D83" i="12" s="1"/>
  <c r="J64" i="5"/>
  <c r="J65" i="5"/>
  <c r="D88" i="12" s="1"/>
  <c r="J56" i="5"/>
  <c r="J40" i="5"/>
  <c r="D56" i="12" s="1"/>
  <c r="J41" i="5"/>
  <c r="J42" i="5"/>
  <c r="D58" i="12" s="1"/>
  <c r="J43" i="5"/>
  <c r="D52" i="11" s="1"/>
  <c r="J44" i="5"/>
  <c r="D53" i="11" s="1"/>
  <c r="D26" i="16" s="1"/>
  <c r="J45" i="5"/>
  <c r="J46" i="5"/>
  <c r="D64" i="12" s="1"/>
  <c r="J47" i="5"/>
  <c r="D71" i="12" s="1"/>
  <c r="J48" i="5"/>
  <c r="D65" i="12" s="1"/>
  <c r="J49" i="5"/>
  <c r="J50" i="5"/>
  <c r="D62" i="11" s="1"/>
  <c r="J51" i="5"/>
  <c r="D64" i="11" s="1"/>
  <c r="J52" i="5"/>
  <c r="D65" i="11" s="1"/>
  <c r="J30" i="5"/>
  <c r="D42" i="12" s="1"/>
  <c r="J31" i="5"/>
  <c r="D43" i="12" s="1"/>
  <c r="J32" i="5"/>
  <c r="D36" i="11" s="1"/>
  <c r="J33" i="5"/>
  <c r="D45" i="12" s="1"/>
  <c r="J29" i="5"/>
  <c r="D40" i="12" s="1"/>
  <c r="J21" i="5"/>
  <c r="J20" i="5"/>
  <c r="J9" i="5"/>
  <c r="J10" i="5"/>
  <c r="J14" i="5"/>
  <c r="J11" i="5"/>
  <c r="J12" i="5"/>
  <c r="J13" i="5"/>
  <c r="J8" i="5"/>
  <c r="I66" i="5"/>
  <c r="I53" i="5"/>
  <c r="H66" i="16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G27" i="11" s="1"/>
  <c r="J16" i="17"/>
  <c r="H79" i="12" s="1"/>
  <c r="H96" i="12" s="1"/>
  <c r="H32" i="15" s="1"/>
  <c r="G49" i="12"/>
  <c r="G30" i="15" s="1"/>
  <c r="G33" i="12"/>
  <c r="G24" i="15"/>
  <c r="G25" i="15" s="1"/>
  <c r="G9" i="16" s="1"/>
  <c r="G23" i="12"/>
  <c r="G35" i="12" s="1"/>
  <c r="Q35" i="15"/>
  <c r="R96" i="12"/>
  <c r="Q32" i="15" s="1"/>
  <c r="R74" i="12"/>
  <c r="Q31" i="15" s="1"/>
  <c r="R33" i="12"/>
  <c r="Q24" i="15" s="1"/>
  <c r="Q25" i="15" s="1"/>
  <c r="R23" i="12"/>
  <c r="J11" i="17"/>
  <c r="J23" i="17"/>
  <c r="J24" i="17"/>
  <c r="J25" i="17"/>
  <c r="J26" i="17"/>
  <c r="J22" i="17"/>
  <c r="J10" i="17"/>
  <c r="H55" i="11" s="1"/>
  <c r="C17" i="17"/>
  <c r="C19" i="17" s="1"/>
  <c r="D17" i="17"/>
  <c r="E17" i="17"/>
  <c r="I17" i="17"/>
  <c r="B17" i="17"/>
  <c r="B19" i="17" s="1"/>
  <c r="B29" i="17" s="1"/>
  <c r="I27" i="17"/>
  <c r="E27" i="17"/>
  <c r="D27" i="17"/>
  <c r="C27" i="17"/>
  <c r="C29" i="17" s="1"/>
  <c r="B27" i="17"/>
  <c r="I12" i="17"/>
  <c r="E12" i="17"/>
  <c r="E19" i="17" s="1"/>
  <c r="D12" i="17"/>
  <c r="C12" i="17"/>
  <c r="B12" i="17"/>
  <c r="G20" i="15"/>
  <c r="G21" i="15" s="1"/>
  <c r="Q20" i="15"/>
  <c r="Q21" i="15" s="1"/>
  <c r="Q27" i="15" s="1"/>
  <c r="H69" i="12"/>
  <c r="J17" i="17"/>
  <c r="T101" i="12"/>
  <c r="Z101" i="12" s="1"/>
  <c r="D19" i="17"/>
  <c r="E29" i="17"/>
  <c r="D60" i="16"/>
  <c r="E60" i="16"/>
  <c r="F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C22" i="16"/>
  <c r="E22" i="16"/>
  <c r="C23" i="16"/>
  <c r="E23" i="16"/>
  <c r="C18" i="16"/>
  <c r="E18" i="16"/>
  <c r="C17" i="16"/>
  <c r="E17" i="16"/>
  <c r="E19" i="16" s="1"/>
  <c r="C16" i="16"/>
  <c r="C19" i="16" s="1"/>
  <c r="E16" i="16"/>
  <c r="H18" i="16"/>
  <c r="I66" i="16"/>
  <c r="I62" i="16"/>
  <c r="I52" i="16"/>
  <c r="H48" i="16"/>
  <c r="I38" i="16"/>
  <c r="I37" i="16"/>
  <c r="S40" i="15"/>
  <c r="I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I110" i="11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6" i="14"/>
  <c r="I26" i="14"/>
  <c r="E26" i="14"/>
  <c r="D26" i="14"/>
  <c r="C26" i="14"/>
  <c r="J24" i="14"/>
  <c r="G97" i="11" s="1"/>
  <c r="G58" i="16" s="1"/>
  <c r="J23" i="14"/>
  <c r="G99" i="11" s="1"/>
  <c r="G57" i="16" s="1"/>
  <c r="J22" i="14"/>
  <c r="J21" i="14"/>
  <c r="I16" i="14"/>
  <c r="I18" i="14" s="1"/>
  <c r="E16" i="14"/>
  <c r="D16" i="14"/>
  <c r="C16" i="14"/>
  <c r="B16" i="14"/>
  <c r="J15" i="14"/>
  <c r="J16" i="14" s="1"/>
  <c r="J11" i="14"/>
  <c r="J12" i="14" s="1"/>
  <c r="I12" i="14"/>
  <c r="E12" i="14"/>
  <c r="C12" i="14"/>
  <c r="B12" i="14"/>
  <c r="R35" i="15"/>
  <c r="Q49" i="12"/>
  <c r="P30" i="15" s="1"/>
  <c r="Q33" i="12"/>
  <c r="P24" i="15" s="1"/>
  <c r="P25" i="15" s="1"/>
  <c r="Q23" i="12"/>
  <c r="H49" i="12"/>
  <c r="H30" i="15" s="1"/>
  <c r="G73" i="11"/>
  <c r="G87" i="11" s="1"/>
  <c r="G82" i="12"/>
  <c r="G96" i="12" s="1"/>
  <c r="G67" i="12"/>
  <c r="G74" i="12" s="1"/>
  <c r="G31" i="15" s="1"/>
  <c r="G108" i="12"/>
  <c r="G55" i="11"/>
  <c r="G69" i="12"/>
  <c r="H43" i="16"/>
  <c r="Q96" i="12"/>
  <c r="P32" i="15" s="1"/>
  <c r="E18" i="14"/>
  <c r="E28" i="14" s="1"/>
  <c r="C18" i="14"/>
  <c r="C28" i="14" s="1"/>
  <c r="J25" i="14"/>
  <c r="G107" i="12" s="1"/>
  <c r="D12" i="14"/>
  <c r="G28" i="16"/>
  <c r="Z50" i="12"/>
  <c r="Z51" i="12"/>
  <c r="Z75" i="12"/>
  <c r="Z76" i="12"/>
  <c r="Z99" i="12"/>
  <c r="Z100" i="12"/>
  <c r="Z104" i="12"/>
  <c r="Z109" i="12"/>
  <c r="Z112" i="12"/>
  <c r="T103" i="12"/>
  <c r="Z103" i="12" s="1"/>
  <c r="D137" i="2"/>
  <c r="D190" i="2" s="1"/>
  <c r="F137" i="2"/>
  <c r="F190" i="2" s="1"/>
  <c r="T85" i="12"/>
  <c r="Z85" i="12"/>
  <c r="N134" i="2"/>
  <c r="F19" i="2"/>
  <c r="N19" i="2" s="1"/>
  <c r="N265" i="2"/>
  <c r="B109" i="12" s="1"/>
  <c r="I109" i="12" s="1"/>
  <c r="N267" i="2"/>
  <c r="B112" i="12" s="1"/>
  <c r="I112" i="12" s="1"/>
  <c r="X112" i="12" s="1"/>
  <c r="N268" i="2"/>
  <c r="I102" i="11" s="1"/>
  <c r="J270" i="2"/>
  <c r="K270" i="2"/>
  <c r="K72" i="2" s="1"/>
  <c r="L270" i="2"/>
  <c r="L72" i="2" s="1"/>
  <c r="M270" i="2"/>
  <c r="I71" i="2"/>
  <c r="J255" i="2"/>
  <c r="J71" i="2" s="1"/>
  <c r="K255" i="2"/>
  <c r="K71" i="2" s="1"/>
  <c r="L255" i="2"/>
  <c r="M255" i="2"/>
  <c r="N260" i="2"/>
  <c r="N252" i="2"/>
  <c r="N251" i="2"/>
  <c r="B28" i="16" s="1"/>
  <c r="N250" i="2"/>
  <c r="B85" i="12" s="1"/>
  <c r="I85" i="12" s="1"/>
  <c r="N249" i="2"/>
  <c r="N248" i="2"/>
  <c r="B82" i="12" s="1"/>
  <c r="N247" i="2"/>
  <c r="B84" i="12" s="1"/>
  <c r="N222" i="2"/>
  <c r="F5" i="2"/>
  <c r="T78" i="12"/>
  <c r="Z78" i="12" s="1"/>
  <c r="T69" i="12"/>
  <c r="Z69" i="12" s="1"/>
  <c r="D69" i="12"/>
  <c r="T86" i="12"/>
  <c r="Z86" i="12" s="1"/>
  <c r="D55" i="11"/>
  <c r="D28" i="16" s="1"/>
  <c r="F63" i="5"/>
  <c r="J63" i="5" s="1"/>
  <c r="F39" i="5"/>
  <c r="J39" i="5" s="1"/>
  <c r="F38" i="5"/>
  <c r="E73" i="5"/>
  <c r="E66" i="5"/>
  <c r="E38" i="5"/>
  <c r="E53" i="5" s="1"/>
  <c r="E35" i="5"/>
  <c r="C18" i="7"/>
  <c r="D18" i="7"/>
  <c r="E18" i="7"/>
  <c r="J17" i="7"/>
  <c r="E98" i="11" s="1"/>
  <c r="E59" i="16" s="1"/>
  <c r="I36" i="6"/>
  <c r="C59" i="6"/>
  <c r="D59" i="6"/>
  <c r="E59" i="6"/>
  <c r="I59" i="6"/>
  <c r="B59" i="6"/>
  <c r="J57" i="6"/>
  <c r="C95" i="11" s="1"/>
  <c r="J50" i="6"/>
  <c r="C82" i="12" s="1"/>
  <c r="J51" i="6"/>
  <c r="C83" i="12" s="1"/>
  <c r="C31" i="6"/>
  <c r="J30" i="6"/>
  <c r="J29" i="6"/>
  <c r="J35" i="6"/>
  <c r="J21" i="6"/>
  <c r="J22" i="6"/>
  <c r="J23" i="6"/>
  <c r="C29" i="12" s="1"/>
  <c r="J24" i="6"/>
  <c r="J26" i="6"/>
  <c r="J27" i="6"/>
  <c r="J32" i="6"/>
  <c r="J33" i="6"/>
  <c r="J34" i="6"/>
  <c r="J20" i="6"/>
  <c r="N33" i="12"/>
  <c r="M24" i="15" s="1"/>
  <c r="M25" i="15" s="1"/>
  <c r="C11" i="11"/>
  <c r="E53" i="6"/>
  <c r="E44" i="6"/>
  <c r="E36" i="6"/>
  <c r="E17" i="6"/>
  <c r="E38" i="6" s="1"/>
  <c r="S74" i="12"/>
  <c r="R31" i="15" s="1"/>
  <c r="T87" i="12"/>
  <c r="Z87" i="12" s="1"/>
  <c r="T115" i="12"/>
  <c r="Z115" i="12" s="1"/>
  <c r="I115" i="12"/>
  <c r="O114" i="12"/>
  <c r="N35" i="15" s="1"/>
  <c r="N114" i="12"/>
  <c r="M35" i="15" s="1"/>
  <c r="T108" i="12"/>
  <c r="Z108" i="12" s="1"/>
  <c r="T106" i="12"/>
  <c r="Z106" i="12" s="1"/>
  <c r="T105" i="12"/>
  <c r="Z105" i="12" s="1"/>
  <c r="T102" i="12"/>
  <c r="Z102" i="12" s="1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D92" i="12"/>
  <c r="C92" i="12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T83" i="12"/>
  <c r="Z83" i="12" s="1"/>
  <c r="T82" i="12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T61" i="12"/>
  <c r="Z61" i="12" s="1"/>
  <c r="T60" i="12"/>
  <c r="Z60" i="12" s="1"/>
  <c r="T57" i="12"/>
  <c r="Z57" i="12" s="1"/>
  <c r="T56" i="12"/>
  <c r="Z56" i="12" s="1"/>
  <c r="T55" i="12"/>
  <c r="T54" i="12"/>
  <c r="Z54" i="12" s="1"/>
  <c r="T53" i="12"/>
  <c r="Z53" i="12" s="1"/>
  <c r="O74" i="12"/>
  <c r="N31" i="15" s="1"/>
  <c r="L31" i="15"/>
  <c r="P49" i="12"/>
  <c r="O30" i="15" s="1"/>
  <c r="O49" i="12"/>
  <c r="N30" i="15" s="1"/>
  <c r="N49" i="12"/>
  <c r="M30" i="15" s="1"/>
  <c r="E49" i="12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S49" i="12"/>
  <c r="R30" i="15"/>
  <c r="T39" i="12"/>
  <c r="Z39" i="12" s="1"/>
  <c r="I39" i="12"/>
  <c r="T38" i="12"/>
  <c r="Z38" i="12" s="1"/>
  <c r="I38" i="12"/>
  <c r="T36" i="12"/>
  <c r="Z36" i="12" s="1"/>
  <c r="I36" i="12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T31" i="12"/>
  <c r="T30" i="12"/>
  <c r="Z30" i="12" s="1"/>
  <c r="C30" i="12"/>
  <c r="T28" i="12"/>
  <c r="Z28" i="12" s="1"/>
  <c r="T24" i="12"/>
  <c r="Z24" i="12" s="1"/>
  <c r="I24" i="12"/>
  <c r="S23" i="12"/>
  <c r="R20" i="15" s="1"/>
  <c r="R21" i="15" s="1"/>
  <c r="P23" i="12"/>
  <c r="O23" i="12"/>
  <c r="N20" i="15" s="1"/>
  <c r="N21" i="15" s="1"/>
  <c r="E23" i="12"/>
  <c r="E20" i="15" s="1"/>
  <c r="E21" i="15" s="1"/>
  <c r="T22" i="12"/>
  <c r="Z22" i="12" s="1"/>
  <c r="H23" i="12"/>
  <c r="H20" i="15"/>
  <c r="H21" i="15" s="1"/>
  <c r="T21" i="12"/>
  <c r="Z21" i="12" s="1"/>
  <c r="T20" i="12"/>
  <c r="Z20" i="12" s="1"/>
  <c r="C20" i="12"/>
  <c r="T19" i="12"/>
  <c r="Z19" i="12" s="1"/>
  <c r="T18" i="12"/>
  <c r="Z18" i="12" s="1"/>
  <c r="N23" i="12"/>
  <c r="M20" i="15" s="1"/>
  <c r="M21" i="15" s="1"/>
  <c r="T17" i="12"/>
  <c r="Z17" i="12" s="1"/>
  <c r="L35" i="15"/>
  <c r="S96" i="12"/>
  <c r="R32" i="15" s="1"/>
  <c r="S35" i="12"/>
  <c r="M33" i="12"/>
  <c r="T26" i="12"/>
  <c r="Z26" i="12" s="1"/>
  <c r="M23" i="12"/>
  <c r="T58" i="12"/>
  <c r="Z58" i="12" s="1"/>
  <c r="Z16" i="12"/>
  <c r="T27" i="12"/>
  <c r="Z27" i="12" s="1"/>
  <c r="T52" i="12"/>
  <c r="Z52" i="12" s="1"/>
  <c r="T32" i="12"/>
  <c r="Z32" i="12" s="1"/>
  <c r="AF94" i="12"/>
  <c r="I106" i="11"/>
  <c r="I88" i="11"/>
  <c r="D83" i="11"/>
  <c r="D49" i="16" s="1"/>
  <c r="C83" i="11"/>
  <c r="C49" i="16" s="1"/>
  <c r="C81" i="11"/>
  <c r="C47" i="16" s="1"/>
  <c r="C80" i="11"/>
  <c r="C46" i="16" s="1"/>
  <c r="I67" i="11"/>
  <c r="E66" i="11"/>
  <c r="F63" i="11"/>
  <c r="F34" i="16" s="1"/>
  <c r="F58" i="11"/>
  <c r="F30" i="16" s="1"/>
  <c r="E41" i="11"/>
  <c r="C41" i="11"/>
  <c r="E25" i="11"/>
  <c r="E15" i="11"/>
  <c r="E27" i="11" s="1"/>
  <c r="C12" i="11"/>
  <c r="I56" i="10"/>
  <c r="J76" i="10"/>
  <c r="J77" i="10"/>
  <c r="F108" i="12" s="1"/>
  <c r="J78" i="10"/>
  <c r="J79" i="10"/>
  <c r="J75" i="10"/>
  <c r="F101" i="12" s="1"/>
  <c r="J60" i="10"/>
  <c r="F79" i="12" s="1"/>
  <c r="J61" i="10"/>
  <c r="F71" i="11" s="1"/>
  <c r="F41" i="16" s="1"/>
  <c r="J62" i="10"/>
  <c r="F90" i="12" s="1"/>
  <c r="J63" i="10"/>
  <c r="F78" i="11" s="1"/>
  <c r="J64" i="10"/>
  <c r="F48" i="16" s="1"/>
  <c r="J65" i="10"/>
  <c r="J66" i="10"/>
  <c r="F73" i="11" s="1"/>
  <c r="J67" i="10"/>
  <c r="J68" i="10"/>
  <c r="J69" i="10"/>
  <c r="F88" i="12" s="1"/>
  <c r="J59" i="10"/>
  <c r="J55" i="10"/>
  <c r="F73" i="12" s="1"/>
  <c r="J36" i="10"/>
  <c r="J37" i="10"/>
  <c r="F53" i="12" s="1"/>
  <c r="J38" i="10"/>
  <c r="J39" i="10"/>
  <c r="F56" i="12" s="1"/>
  <c r="J40" i="10"/>
  <c r="F49" i="11" s="1"/>
  <c r="J42" i="10"/>
  <c r="F59" i="12" s="1"/>
  <c r="I59" i="12" s="1"/>
  <c r="X59" i="12" s="1"/>
  <c r="J44" i="10"/>
  <c r="F60" i="12" s="1"/>
  <c r="J45" i="10"/>
  <c r="J46" i="10"/>
  <c r="F62" i="12" s="1"/>
  <c r="J47" i="10"/>
  <c r="F69" i="12" s="1"/>
  <c r="J48" i="10"/>
  <c r="J49" i="10"/>
  <c r="F64" i="12" s="1"/>
  <c r="J50" i="10"/>
  <c r="J51" i="10"/>
  <c r="J52" i="10"/>
  <c r="F60" i="11" s="1"/>
  <c r="F31" i="16" s="1"/>
  <c r="J53" i="10"/>
  <c r="F62" i="11" s="1"/>
  <c r="J54" i="10"/>
  <c r="F64" i="11" s="1"/>
  <c r="J35" i="10"/>
  <c r="F52" i="12" s="1"/>
  <c r="J25" i="10"/>
  <c r="F42" i="12" s="1"/>
  <c r="J26" i="10"/>
  <c r="F43" i="12" s="1"/>
  <c r="J27" i="10"/>
  <c r="F44" i="12" s="1"/>
  <c r="J28" i="10"/>
  <c r="J29" i="10"/>
  <c r="J30" i="10"/>
  <c r="J31" i="10"/>
  <c r="J24" i="10"/>
  <c r="J17" i="10"/>
  <c r="J18" i="10" s="1"/>
  <c r="F32" i="12" s="1"/>
  <c r="F33" i="12" s="1"/>
  <c r="F24" i="15" s="1"/>
  <c r="F25" i="15" s="1"/>
  <c r="F9" i="16" s="1"/>
  <c r="J9" i="10"/>
  <c r="J11" i="10"/>
  <c r="J12" i="10"/>
  <c r="J13" i="10"/>
  <c r="J8" i="10"/>
  <c r="I80" i="10"/>
  <c r="I70" i="10"/>
  <c r="I32" i="10"/>
  <c r="I18" i="10"/>
  <c r="I14" i="10"/>
  <c r="F99" i="11"/>
  <c r="F57" i="16" s="1"/>
  <c r="T37" i="12"/>
  <c r="Z37" i="12" s="1"/>
  <c r="AF92" i="12"/>
  <c r="AF89" i="12"/>
  <c r="E43" i="10"/>
  <c r="E10" i="10"/>
  <c r="J10" i="10"/>
  <c r="D43" i="10"/>
  <c r="D41" i="10"/>
  <c r="C43" i="10"/>
  <c r="C56" i="10" s="1"/>
  <c r="B43" i="10"/>
  <c r="J43" i="10" s="1"/>
  <c r="B32" i="10"/>
  <c r="E80" i="10"/>
  <c r="D80" i="10"/>
  <c r="C80" i="10"/>
  <c r="B80" i="10"/>
  <c r="E70" i="10"/>
  <c r="D70" i="10"/>
  <c r="C70" i="10"/>
  <c r="B70" i="10"/>
  <c r="E56" i="10"/>
  <c r="B56" i="10"/>
  <c r="B72" i="10" s="1"/>
  <c r="E32" i="10"/>
  <c r="D32" i="10"/>
  <c r="C32" i="10"/>
  <c r="J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J16" i="7"/>
  <c r="E106" i="12" s="1"/>
  <c r="D20" i="7"/>
  <c r="J10" i="7"/>
  <c r="J58" i="6"/>
  <c r="J52" i="6"/>
  <c r="C55" i="11" s="1"/>
  <c r="C28" i="16" s="1"/>
  <c r="I53" i="6"/>
  <c r="J49" i="6"/>
  <c r="C73" i="12" s="1"/>
  <c r="C53" i="6"/>
  <c r="D53" i="6"/>
  <c r="B53" i="6"/>
  <c r="E79" i="12"/>
  <c r="E70" i="11"/>
  <c r="J48" i="6"/>
  <c r="C79" i="11" s="1"/>
  <c r="C45" i="16" s="1"/>
  <c r="J56" i="6"/>
  <c r="C94" i="11" s="1"/>
  <c r="I94" i="11" s="1"/>
  <c r="J16" i="6"/>
  <c r="J47" i="6"/>
  <c r="C70" i="11" s="1"/>
  <c r="C40" i="16" s="1"/>
  <c r="J43" i="6"/>
  <c r="C67" i="12" s="1"/>
  <c r="J42" i="6"/>
  <c r="C58" i="12" s="1"/>
  <c r="D44" i="6"/>
  <c r="C44" i="6"/>
  <c r="B44" i="6"/>
  <c r="B61" i="6" s="1"/>
  <c r="D36" i="6"/>
  <c r="C36" i="6"/>
  <c r="B36" i="6"/>
  <c r="J19" i="6"/>
  <c r="D17" i="6"/>
  <c r="D38" i="6" s="1"/>
  <c r="C17" i="6"/>
  <c r="B17" i="6"/>
  <c r="B38" i="6" s="1"/>
  <c r="J14" i="6"/>
  <c r="J13" i="6"/>
  <c r="J10" i="6"/>
  <c r="C18" i="12" s="1"/>
  <c r="J9" i="6"/>
  <c r="D38" i="5"/>
  <c r="D53" i="5" s="1"/>
  <c r="D68" i="5" s="1"/>
  <c r="C38" i="5"/>
  <c r="C53" i="5" s="1"/>
  <c r="B38" i="5"/>
  <c r="C66" i="5"/>
  <c r="D66" i="5"/>
  <c r="F66" i="5"/>
  <c r="B66" i="5"/>
  <c r="C73" i="5"/>
  <c r="D73" i="5"/>
  <c r="F73" i="5"/>
  <c r="B73" i="5"/>
  <c r="C35" i="5"/>
  <c r="D35" i="5"/>
  <c r="F35" i="5"/>
  <c r="B35" i="5"/>
  <c r="D25" i="5"/>
  <c r="J19" i="5"/>
  <c r="J28" i="5"/>
  <c r="B5" i="2"/>
  <c r="B6" i="2"/>
  <c r="B7" i="2"/>
  <c r="B8" i="2"/>
  <c r="B9" i="2"/>
  <c r="B14" i="2"/>
  <c r="B15" i="2"/>
  <c r="B16" i="2"/>
  <c r="B17" i="2"/>
  <c r="B18" i="2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2" i="2"/>
  <c r="B82" i="2" s="1"/>
  <c r="B53" i="2"/>
  <c r="B83" i="2" s="1"/>
  <c r="B54" i="2"/>
  <c r="B55" i="2"/>
  <c r="B58" i="2"/>
  <c r="B87" i="2" s="1"/>
  <c r="B59" i="2"/>
  <c r="B60" i="2"/>
  <c r="B61" i="2"/>
  <c r="B62" i="2"/>
  <c r="B63" i="2"/>
  <c r="B65" i="2"/>
  <c r="B91" i="2" s="1"/>
  <c r="B73" i="2"/>
  <c r="B88" i="2"/>
  <c r="B89" i="2"/>
  <c r="B90" i="2"/>
  <c r="B126" i="2"/>
  <c r="B191" i="2" s="1"/>
  <c r="B71" i="2"/>
  <c r="B72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5" i="2"/>
  <c r="N45" i="2" s="1"/>
  <c r="P45" i="2" s="1"/>
  <c r="Q45" i="2" s="1"/>
  <c r="C52" i="2"/>
  <c r="C53" i="2"/>
  <c r="C83" i="2" s="1"/>
  <c r="C54" i="2"/>
  <c r="C55" i="2"/>
  <c r="C58" i="2"/>
  <c r="C59" i="2"/>
  <c r="C60" i="2"/>
  <c r="C61" i="2"/>
  <c r="C62" i="2"/>
  <c r="C63" i="2"/>
  <c r="C65" i="2"/>
  <c r="C91" i="2" s="1"/>
  <c r="C73" i="2"/>
  <c r="C88" i="2"/>
  <c r="C89" i="2"/>
  <c r="C90" i="2"/>
  <c r="C126" i="2"/>
  <c r="C70" i="2"/>
  <c r="C72" i="2"/>
  <c r="P273" i="2"/>
  <c r="Q273" i="2" s="1"/>
  <c r="P271" i="2"/>
  <c r="Q271" i="2" s="1"/>
  <c r="J72" i="2"/>
  <c r="G72" i="2"/>
  <c r="F72" i="2"/>
  <c r="D72" i="2"/>
  <c r="N264" i="2"/>
  <c r="P264" i="2" s="1"/>
  <c r="Q264" i="2" s="1"/>
  <c r="N263" i="2"/>
  <c r="P263" i="2" s="1"/>
  <c r="Q263" i="2" s="1"/>
  <c r="N262" i="2"/>
  <c r="B58" i="16" s="1"/>
  <c r="N261" i="2"/>
  <c r="B105" i="12" s="1"/>
  <c r="I105" i="12" s="1"/>
  <c r="N259" i="2"/>
  <c r="B102" i="12" s="1"/>
  <c r="I102" i="12" s="1"/>
  <c r="P257" i="2"/>
  <c r="Q257" i="2" s="1"/>
  <c r="P256" i="2"/>
  <c r="Q256" i="2" s="1"/>
  <c r="M71" i="2"/>
  <c r="L71" i="2"/>
  <c r="G71" i="2"/>
  <c r="F71" i="2"/>
  <c r="D71" i="2"/>
  <c r="N245" i="2"/>
  <c r="N244" i="2"/>
  <c r="I86" i="11" s="1"/>
  <c r="N243" i="2"/>
  <c r="P243" i="2" s="1"/>
  <c r="Q243" i="2" s="1"/>
  <c r="N242" i="2"/>
  <c r="B93" i="12" s="1"/>
  <c r="I93" i="12" s="1"/>
  <c r="N241" i="2"/>
  <c r="P241" i="2" s="1"/>
  <c r="Q241" i="2" s="1"/>
  <c r="N240" i="2"/>
  <c r="P240" i="2" s="1"/>
  <c r="Q240" i="2" s="1"/>
  <c r="P239" i="2"/>
  <c r="Q239" i="2" s="1"/>
  <c r="N238" i="2"/>
  <c r="P238" i="2" s="1"/>
  <c r="Q238" i="2" s="1"/>
  <c r="N237" i="2"/>
  <c r="I68" i="12" s="1"/>
  <c r="E236" i="2"/>
  <c r="N235" i="2"/>
  <c r="B91" i="12" s="1"/>
  <c r="N234" i="2"/>
  <c r="B87" i="12" s="1"/>
  <c r="N233" i="2"/>
  <c r="P233" i="2" s="1"/>
  <c r="Q233" i="2" s="1"/>
  <c r="N232" i="2"/>
  <c r="P232" i="2" s="1"/>
  <c r="Q232" i="2" s="1"/>
  <c r="N231" i="2"/>
  <c r="P231" i="2" s="1"/>
  <c r="Q231" i="2" s="1"/>
  <c r="N230" i="2"/>
  <c r="B81" i="12" s="1"/>
  <c r="N229" i="2"/>
  <c r="P229" i="2" s="1"/>
  <c r="Q229" i="2" s="1"/>
  <c r="N228" i="2"/>
  <c r="P228" i="2" s="1"/>
  <c r="Q228" i="2" s="1"/>
  <c r="N227" i="2"/>
  <c r="B77" i="12" s="1"/>
  <c r="N226" i="2"/>
  <c r="P226" i="2" s="1"/>
  <c r="Q226" i="2" s="1"/>
  <c r="N225" i="2"/>
  <c r="P224" i="2"/>
  <c r="Q224" i="2" s="1"/>
  <c r="M223" i="2"/>
  <c r="M70" i="2" s="1"/>
  <c r="L223" i="2"/>
  <c r="L70" i="2" s="1"/>
  <c r="K223" i="2"/>
  <c r="K70" i="2" s="1"/>
  <c r="J223" i="2"/>
  <c r="J70" i="2" s="1"/>
  <c r="N221" i="2"/>
  <c r="P221" i="2" s="1"/>
  <c r="Q221" i="2" s="1"/>
  <c r="N220" i="2"/>
  <c r="P220" i="2" s="1"/>
  <c r="Q220" i="2" s="1"/>
  <c r="N219" i="2"/>
  <c r="N218" i="2"/>
  <c r="B32" i="16" s="1"/>
  <c r="I32" i="16" s="1"/>
  <c r="N217" i="2"/>
  <c r="N216" i="2"/>
  <c r="P216" i="2" s="1"/>
  <c r="Q216" i="2" s="1"/>
  <c r="N215" i="2"/>
  <c r="P215" i="2" s="1"/>
  <c r="Q215" i="2" s="1"/>
  <c r="N214" i="2"/>
  <c r="P214" i="2" s="1"/>
  <c r="Q214" i="2" s="1"/>
  <c r="N213" i="2"/>
  <c r="P213" i="2" s="1"/>
  <c r="Q213" i="2" s="1"/>
  <c r="N212" i="2"/>
  <c r="P212" i="2" s="1"/>
  <c r="Q212" i="2" s="1"/>
  <c r="N211" i="2"/>
  <c r="N210" i="2"/>
  <c r="N209" i="2"/>
  <c r="P209" i="2" s="1"/>
  <c r="Q209" i="2" s="1"/>
  <c r="N208" i="2"/>
  <c r="N207" i="2"/>
  <c r="N206" i="2"/>
  <c r="P205" i="2"/>
  <c r="Q205" i="2" s="1"/>
  <c r="M204" i="2"/>
  <c r="M69" i="2" s="1"/>
  <c r="L204" i="2"/>
  <c r="L69" i="2" s="1"/>
  <c r="K204" i="2"/>
  <c r="K69" i="2" s="1"/>
  <c r="J204" i="2"/>
  <c r="J69" i="2" s="1"/>
  <c r="G69" i="2"/>
  <c r="E69" i="2"/>
  <c r="D69" i="2"/>
  <c r="N203" i="2"/>
  <c r="N202" i="2"/>
  <c r="P202" i="2" s="1"/>
  <c r="Q202" i="2" s="1"/>
  <c r="N201" i="2"/>
  <c r="P201" i="2" s="1"/>
  <c r="Q201" i="2" s="1"/>
  <c r="N200" i="2"/>
  <c r="P200" i="2" s="1"/>
  <c r="Q200" i="2" s="1"/>
  <c r="N199" i="2"/>
  <c r="P199" i="2" s="1"/>
  <c r="Q199" i="2" s="1"/>
  <c r="N198" i="2"/>
  <c r="B36" i="11" s="1"/>
  <c r="N197" i="2"/>
  <c r="B43" i="12" s="1"/>
  <c r="N196" i="2"/>
  <c r="B42" i="12" s="1"/>
  <c r="N195" i="2"/>
  <c r="B33" i="11" s="1"/>
  <c r="I33" i="11" s="1"/>
  <c r="N194" i="2"/>
  <c r="P194" i="2" s="1"/>
  <c r="Q194" i="2" s="1"/>
  <c r="N193" i="2"/>
  <c r="P192" i="2"/>
  <c r="Q192" i="2" s="1"/>
  <c r="M190" i="2"/>
  <c r="L190" i="2"/>
  <c r="K190" i="2"/>
  <c r="J190" i="2"/>
  <c r="N184" i="2"/>
  <c r="N182" i="2"/>
  <c r="E181" i="2"/>
  <c r="E62" i="2" s="1"/>
  <c r="N180" i="2"/>
  <c r="P180" i="2" s="1"/>
  <c r="Q180" i="2" s="1"/>
  <c r="N179" i="2"/>
  <c r="P179" i="2" s="1"/>
  <c r="Q179" i="2" s="1"/>
  <c r="N178" i="2"/>
  <c r="P178" i="2" s="1"/>
  <c r="Q178" i="2" s="1"/>
  <c r="N177" i="2"/>
  <c r="P177" i="2" s="1"/>
  <c r="Q177" i="2" s="1"/>
  <c r="N176" i="2"/>
  <c r="P176" i="2" s="1"/>
  <c r="Q176" i="2" s="1"/>
  <c r="N175" i="2"/>
  <c r="P175" i="2" s="1"/>
  <c r="Q175" i="2" s="1"/>
  <c r="N174" i="2"/>
  <c r="P174" i="2" s="1"/>
  <c r="Q174" i="2" s="1"/>
  <c r="N173" i="2"/>
  <c r="P173" i="2" s="1"/>
  <c r="Q173" i="2" s="1"/>
  <c r="N172" i="2"/>
  <c r="P172" i="2" s="1"/>
  <c r="Q172" i="2" s="1"/>
  <c r="N171" i="2"/>
  <c r="P171" i="2" s="1"/>
  <c r="Q171" i="2" s="1"/>
  <c r="N170" i="2"/>
  <c r="P170" i="2" s="1"/>
  <c r="Q170" i="2" s="1"/>
  <c r="N169" i="2"/>
  <c r="P169" i="2" s="1"/>
  <c r="Q169" i="2" s="1"/>
  <c r="N168" i="2"/>
  <c r="P168" i="2" s="1"/>
  <c r="Q168" i="2" s="1"/>
  <c r="N167" i="2"/>
  <c r="P167" i="2" s="1"/>
  <c r="Q167" i="2" s="1"/>
  <c r="E166" i="2"/>
  <c r="E190" i="2" s="1"/>
  <c r="N165" i="2"/>
  <c r="P165" i="2" s="1"/>
  <c r="Q165" i="2" s="1"/>
  <c r="N164" i="2"/>
  <c r="P164" i="2" s="1"/>
  <c r="Q164" i="2" s="1"/>
  <c r="N163" i="2"/>
  <c r="P163" i="2" s="1"/>
  <c r="Q163" i="2" s="1"/>
  <c r="N162" i="2"/>
  <c r="N161" i="2"/>
  <c r="P161" i="2" s="1"/>
  <c r="Q161" i="2" s="1"/>
  <c r="N159" i="2"/>
  <c r="P159" i="2" s="1"/>
  <c r="Q159" i="2" s="1"/>
  <c r="N158" i="2"/>
  <c r="P158" i="2" s="1"/>
  <c r="Q158" i="2" s="1"/>
  <c r="N157" i="2"/>
  <c r="P157" i="2" s="1"/>
  <c r="Q157" i="2" s="1"/>
  <c r="N156" i="2"/>
  <c r="P156" i="2" s="1"/>
  <c r="Q156" i="2" s="1"/>
  <c r="N155" i="2"/>
  <c r="P155" i="2" s="1"/>
  <c r="Q155" i="2" s="1"/>
  <c r="N154" i="2"/>
  <c r="P154" i="2" s="1"/>
  <c r="Q154" i="2" s="1"/>
  <c r="N153" i="2"/>
  <c r="P153" i="2" s="1"/>
  <c r="Q153" i="2" s="1"/>
  <c r="N152" i="2"/>
  <c r="P152" i="2" s="1"/>
  <c r="Q152" i="2" s="1"/>
  <c r="N151" i="2"/>
  <c r="P151" i="2" s="1"/>
  <c r="Q151" i="2" s="1"/>
  <c r="N150" i="2"/>
  <c r="P150" i="2" s="1"/>
  <c r="Q150" i="2" s="1"/>
  <c r="N149" i="2"/>
  <c r="P149" i="2" s="1"/>
  <c r="Q149" i="2" s="1"/>
  <c r="N148" i="2"/>
  <c r="P148" i="2" s="1"/>
  <c r="Q148" i="2" s="1"/>
  <c r="N147" i="2"/>
  <c r="P147" i="2" s="1"/>
  <c r="Q147" i="2" s="1"/>
  <c r="N146" i="2"/>
  <c r="P146" i="2" s="1"/>
  <c r="Q146" i="2" s="1"/>
  <c r="N145" i="2"/>
  <c r="P145" i="2" s="1"/>
  <c r="Q145" i="2" s="1"/>
  <c r="N144" i="2"/>
  <c r="P144" i="2" s="1"/>
  <c r="Q144" i="2" s="1"/>
  <c r="N143" i="2"/>
  <c r="P143" i="2" s="1"/>
  <c r="Q143" i="2" s="1"/>
  <c r="N142" i="2"/>
  <c r="P142" i="2" s="1"/>
  <c r="Q142" i="2" s="1"/>
  <c r="N141" i="2"/>
  <c r="P141" i="2" s="1"/>
  <c r="Q141" i="2" s="1"/>
  <c r="N140" i="2"/>
  <c r="P140" i="2" s="1"/>
  <c r="Q140" i="2" s="1"/>
  <c r="N139" i="2"/>
  <c r="P139" i="2" s="1"/>
  <c r="Q139" i="2" s="1"/>
  <c r="N138" i="2"/>
  <c r="P138" i="2" s="1"/>
  <c r="Q138" i="2" s="1"/>
  <c r="N136" i="2"/>
  <c r="N135" i="2"/>
  <c r="P135" i="2" s="1"/>
  <c r="Q135" i="2" s="1"/>
  <c r="P134" i="2"/>
  <c r="Q134" i="2" s="1"/>
  <c r="N133" i="2"/>
  <c r="N132" i="2"/>
  <c r="N131" i="2"/>
  <c r="P131" i="2" s="1"/>
  <c r="Q131" i="2" s="1"/>
  <c r="N130" i="2"/>
  <c r="P130" i="2" s="1"/>
  <c r="Q130" i="2" s="1"/>
  <c r="N129" i="2"/>
  <c r="P129" i="2" s="1"/>
  <c r="Q129" i="2" s="1"/>
  <c r="N128" i="2"/>
  <c r="P127" i="2"/>
  <c r="Q127" i="2" s="1"/>
  <c r="M126" i="2"/>
  <c r="M191" i="2" s="1"/>
  <c r="L126" i="2"/>
  <c r="K126" i="2"/>
  <c r="J126" i="2"/>
  <c r="J191" i="2" s="1"/>
  <c r="G191" i="2"/>
  <c r="F126" i="2"/>
  <c r="E126" i="2"/>
  <c r="E191" i="2" s="1"/>
  <c r="D126" i="2"/>
  <c r="P121" i="2"/>
  <c r="Q121" i="2" s="1"/>
  <c r="P120" i="2"/>
  <c r="Q120" i="2" s="1"/>
  <c r="P119" i="2"/>
  <c r="Q119" i="2" s="1"/>
  <c r="P118" i="2"/>
  <c r="Q118" i="2" s="1"/>
  <c r="P117" i="2"/>
  <c r="Q117" i="2" s="1"/>
  <c r="P114" i="2"/>
  <c r="Q114" i="2" s="1"/>
  <c r="P113" i="2"/>
  <c r="Q113" i="2" s="1"/>
  <c r="P112" i="2"/>
  <c r="Q112" i="2" s="1"/>
  <c r="P110" i="2"/>
  <c r="Q110" i="2" s="1"/>
  <c r="P109" i="2"/>
  <c r="Q109" i="2" s="1"/>
  <c r="P108" i="2"/>
  <c r="Q108" i="2" s="1"/>
  <c r="P105" i="2"/>
  <c r="Q105" i="2" s="1"/>
  <c r="P104" i="2"/>
  <c r="Q104" i="2" s="1"/>
  <c r="P102" i="2"/>
  <c r="Q102" i="2" s="1"/>
  <c r="P101" i="2"/>
  <c r="Q101" i="2" s="1"/>
  <c r="P100" i="2"/>
  <c r="Q100" i="2" s="1"/>
  <c r="P99" i="2"/>
  <c r="Q99" i="2" s="1"/>
  <c r="P98" i="2"/>
  <c r="Q98" i="2" s="1"/>
  <c r="N97" i="2"/>
  <c r="P97" i="2" s="1"/>
  <c r="Q97" i="2" s="1"/>
  <c r="P96" i="2"/>
  <c r="Q96" i="2" s="1"/>
  <c r="P95" i="2"/>
  <c r="Q95" i="2" s="1"/>
  <c r="P94" i="2"/>
  <c r="Q94" i="2" s="1"/>
  <c r="F91" i="2"/>
  <c r="M90" i="2"/>
  <c r="L90" i="2"/>
  <c r="K90" i="2"/>
  <c r="J90" i="2"/>
  <c r="G90" i="2"/>
  <c r="F90" i="2"/>
  <c r="E90" i="2"/>
  <c r="D90" i="2"/>
  <c r="L89" i="2"/>
  <c r="K89" i="2"/>
  <c r="J89" i="2"/>
  <c r="G89" i="2"/>
  <c r="F89" i="2"/>
  <c r="E89" i="2"/>
  <c r="D89" i="2"/>
  <c r="G88" i="2"/>
  <c r="F88" i="2"/>
  <c r="E88" i="2"/>
  <c r="D88" i="2"/>
  <c r="F87" i="2"/>
  <c r="P86" i="2"/>
  <c r="Q86" i="2" s="1"/>
  <c r="P85" i="2"/>
  <c r="Q85" i="2" s="1"/>
  <c r="F83" i="2"/>
  <c r="F84" i="2" s="1"/>
  <c r="F82" i="2"/>
  <c r="P81" i="2"/>
  <c r="Q81" i="2" s="1"/>
  <c r="P80" i="2"/>
  <c r="Q80" i="2" s="1"/>
  <c r="P79" i="2"/>
  <c r="Q79" i="2" s="1"/>
  <c r="P77" i="2"/>
  <c r="Q77" i="2" s="1"/>
  <c r="P76" i="2"/>
  <c r="Q76" i="2" s="1"/>
  <c r="M73" i="2"/>
  <c r="L73" i="2"/>
  <c r="K73" i="2"/>
  <c r="J73" i="2"/>
  <c r="G73" i="2"/>
  <c r="F73" i="2"/>
  <c r="E73" i="2"/>
  <c r="D73" i="2"/>
  <c r="M72" i="2"/>
  <c r="E72" i="2"/>
  <c r="G70" i="2"/>
  <c r="P68" i="2"/>
  <c r="Q68" i="2" s="1"/>
  <c r="M65" i="2"/>
  <c r="M91" i="2" s="1"/>
  <c r="L65" i="2"/>
  <c r="L91" i="2" s="1"/>
  <c r="K65" i="2"/>
  <c r="K91" i="2" s="1"/>
  <c r="J65" i="2"/>
  <c r="F65" i="2"/>
  <c r="E65" i="2"/>
  <c r="E91" i="2" s="1"/>
  <c r="D65" i="2"/>
  <c r="D91" i="2" s="1"/>
  <c r="N64" i="2"/>
  <c r="P64" i="2" s="1"/>
  <c r="Q64" i="2" s="1"/>
  <c r="M63" i="2"/>
  <c r="L63" i="2"/>
  <c r="K63" i="2"/>
  <c r="J63" i="2"/>
  <c r="F63" i="2"/>
  <c r="E63" i="2"/>
  <c r="D63" i="2"/>
  <c r="M62" i="2"/>
  <c r="L62" i="2"/>
  <c r="K62" i="2"/>
  <c r="J62" i="2"/>
  <c r="F62" i="2"/>
  <c r="D62" i="2"/>
  <c r="M61" i="2"/>
  <c r="L61" i="2"/>
  <c r="K61" i="2"/>
  <c r="J61" i="2"/>
  <c r="F61" i="2"/>
  <c r="E61" i="2"/>
  <c r="D61" i="2"/>
  <c r="M60" i="2"/>
  <c r="L60" i="2"/>
  <c r="K60" i="2"/>
  <c r="J60" i="2"/>
  <c r="E60" i="2"/>
  <c r="M59" i="2"/>
  <c r="L59" i="2"/>
  <c r="L88" i="2" s="1"/>
  <c r="K59" i="2"/>
  <c r="J59" i="2"/>
  <c r="J88" i="2" s="1"/>
  <c r="F59" i="2"/>
  <c r="E59" i="2"/>
  <c r="D59" i="2"/>
  <c r="M58" i="2"/>
  <c r="L58" i="2"/>
  <c r="L87" i="2" s="1"/>
  <c r="K58" i="2"/>
  <c r="K87" i="2"/>
  <c r="J58" i="2"/>
  <c r="J87" i="2" s="1"/>
  <c r="F58" i="2"/>
  <c r="E58" i="2"/>
  <c r="E87" i="2" s="1"/>
  <c r="D58" i="2"/>
  <c r="D87" i="2" s="1"/>
  <c r="P57" i="2"/>
  <c r="Q57" i="2" s="1"/>
  <c r="M55" i="2"/>
  <c r="L55" i="2"/>
  <c r="K55" i="2"/>
  <c r="J55" i="2"/>
  <c r="F55" i="2"/>
  <c r="E55" i="2"/>
  <c r="D55" i="2"/>
  <c r="M54" i="2"/>
  <c r="L54" i="2"/>
  <c r="K54" i="2"/>
  <c r="J54" i="2"/>
  <c r="F54" i="2"/>
  <c r="E54" i="2"/>
  <c r="D54" i="2"/>
  <c r="M53" i="2"/>
  <c r="M83" i="2" s="1"/>
  <c r="L53" i="2"/>
  <c r="L83" i="2" s="1"/>
  <c r="K53" i="2"/>
  <c r="J53" i="2"/>
  <c r="I84" i="2"/>
  <c r="G83" i="2"/>
  <c r="F53" i="2"/>
  <c r="E53" i="2"/>
  <c r="E83" i="2" s="1"/>
  <c r="D53" i="2"/>
  <c r="D83" i="2" s="1"/>
  <c r="M52" i="2"/>
  <c r="M82" i="2" s="1"/>
  <c r="L52" i="2"/>
  <c r="L82" i="2" s="1"/>
  <c r="K52" i="2"/>
  <c r="K82" i="2" s="1"/>
  <c r="J52" i="2"/>
  <c r="F52" i="2"/>
  <c r="E52" i="2"/>
  <c r="D52" i="2"/>
  <c r="D82" i="2"/>
  <c r="P51" i="2"/>
  <c r="Q51" i="2" s="1"/>
  <c r="P50" i="2"/>
  <c r="Q50" i="2" s="1"/>
  <c r="P49" i="2"/>
  <c r="Q49" i="2"/>
  <c r="P48" i="2"/>
  <c r="Q48" i="2" s="1"/>
  <c r="M46" i="2"/>
  <c r="L46" i="2"/>
  <c r="K46" i="2"/>
  <c r="J46" i="2"/>
  <c r="F46" i="2"/>
  <c r="N44" i="2"/>
  <c r="P44" i="2" s="1"/>
  <c r="Q44" i="2" s="1"/>
  <c r="E43" i="2"/>
  <c r="D43" i="2"/>
  <c r="E40" i="2"/>
  <c r="D40" i="2"/>
  <c r="E39" i="2"/>
  <c r="D39" i="2"/>
  <c r="E38" i="2"/>
  <c r="D38" i="2"/>
  <c r="P37" i="2"/>
  <c r="Q37" i="2" s="1"/>
  <c r="M33" i="2"/>
  <c r="L33" i="2"/>
  <c r="K33" i="2"/>
  <c r="J33" i="2"/>
  <c r="G33" i="2"/>
  <c r="F33" i="2"/>
  <c r="E33" i="2"/>
  <c r="D33" i="2"/>
  <c r="M32" i="2"/>
  <c r="L32" i="2"/>
  <c r="K32" i="2"/>
  <c r="J32" i="2"/>
  <c r="G32" i="2"/>
  <c r="F32" i="2"/>
  <c r="E32" i="2"/>
  <c r="D32" i="2"/>
  <c r="P31" i="2"/>
  <c r="Q31" i="2" s="1"/>
  <c r="M30" i="2"/>
  <c r="L30" i="2"/>
  <c r="K30" i="2"/>
  <c r="J30" i="2"/>
  <c r="F30" i="2"/>
  <c r="M29" i="2"/>
  <c r="L29" i="2"/>
  <c r="K29" i="2"/>
  <c r="J29" i="2"/>
  <c r="G29" i="2"/>
  <c r="F29" i="2"/>
  <c r="E29" i="2"/>
  <c r="D29" i="2"/>
  <c r="M28" i="2"/>
  <c r="L28" i="2"/>
  <c r="K28" i="2"/>
  <c r="J28" i="2"/>
  <c r="G28" i="2"/>
  <c r="F28" i="2"/>
  <c r="E28" i="2"/>
  <c r="D28" i="2"/>
  <c r="M27" i="2"/>
  <c r="L27" i="2"/>
  <c r="K27" i="2"/>
  <c r="J27" i="2"/>
  <c r="G27" i="2"/>
  <c r="F27" i="2"/>
  <c r="E27" i="2"/>
  <c r="D27" i="2"/>
  <c r="P26" i="2"/>
  <c r="Q26" i="2" s="1"/>
  <c r="M25" i="2"/>
  <c r="L25" i="2"/>
  <c r="K25" i="2"/>
  <c r="J25" i="2"/>
  <c r="G25" i="2"/>
  <c r="F25" i="2"/>
  <c r="E25" i="2"/>
  <c r="D25" i="2"/>
  <c r="M24" i="2"/>
  <c r="L24" i="2"/>
  <c r="K24" i="2"/>
  <c r="J24" i="2"/>
  <c r="G24" i="2"/>
  <c r="F24" i="2"/>
  <c r="E24" i="2"/>
  <c r="D24" i="2"/>
  <c r="M23" i="2"/>
  <c r="L23" i="2"/>
  <c r="K23" i="2"/>
  <c r="J23" i="2"/>
  <c r="G23" i="2"/>
  <c r="F23" i="2"/>
  <c r="E23" i="2"/>
  <c r="D23" i="2"/>
  <c r="M22" i="2"/>
  <c r="L22" i="2"/>
  <c r="K22" i="2"/>
  <c r="J22" i="2"/>
  <c r="G22" i="2"/>
  <c r="F22" i="2"/>
  <c r="E22" i="2"/>
  <c r="D22" i="2"/>
  <c r="P21" i="2"/>
  <c r="Q21" i="2" s="1"/>
  <c r="M20" i="2"/>
  <c r="L20" i="2"/>
  <c r="K20" i="2"/>
  <c r="J20" i="2"/>
  <c r="F20" i="2"/>
  <c r="E20" i="2"/>
  <c r="M18" i="2"/>
  <c r="L18" i="2"/>
  <c r="K18" i="2"/>
  <c r="J18" i="2"/>
  <c r="F18" i="2"/>
  <c r="E18" i="2"/>
  <c r="D18" i="2"/>
  <c r="M17" i="2"/>
  <c r="L17" i="2"/>
  <c r="K17" i="2"/>
  <c r="J17" i="2"/>
  <c r="G17" i="2"/>
  <c r="F17" i="2"/>
  <c r="E17" i="2"/>
  <c r="D17" i="2"/>
  <c r="M16" i="2"/>
  <c r="L16" i="2"/>
  <c r="K16" i="2"/>
  <c r="J16" i="2"/>
  <c r="G16" i="2"/>
  <c r="F16" i="2"/>
  <c r="E16" i="2"/>
  <c r="D16" i="2"/>
  <c r="M15" i="2"/>
  <c r="L15" i="2"/>
  <c r="K15" i="2"/>
  <c r="J15" i="2"/>
  <c r="G15" i="2"/>
  <c r="F15" i="2"/>
  <c r="E15" i="2"/>
  <c r="D15" i="2"/>
  <c r="M14" i="2"/>
  <c r="L14" i="2"/>
  <c r="K14" i="2"/>
  <c r="J14" i="2"/>
  <c r="G14" i="2"/>
  <c r="F14" i="2"/>
  <c r="E14" i="2"/>
  <c r="D14" i="2"/>
  <c r="P13" i="2"/>
  <c r="Q13" i="2" s="1"/>
  <c r="P12" i="2"/>
  <c r="Q12" i="2" s="1"/>
  <c r="M10" i="2"/>
  <c r="L10" i="2"/>
  <c r="K10" i="2"/>
  <c r="J10" i="2"/>
  <c r="G10" i="2"/>
  <c r="F10" i="2"/>
  <c r="E10" i="2"/>
  <c r="M9" i="2"/>
  <c r="L9" i="2"/>
  <c r="K9" i="2"/>
  <c r="J9" i="2"/>
  <c r="G9" i="2"/>
  <c r="F9" i="2"/>
  <c r="E9" i="2"/>
  <c r="D9" i="2"/>
  <c r="M8" i="2"/>
  <c r="L8" i="2"/>
  <c r="K8" i="2"/>
  <c r="J8" i="2"/>
  <c r="F8" i="2"/>
  <c r="E8" i="2"/>
  <c r="D8" i="2"/>
  <c r="M7" i="2"/>
  <c r="L7" i="2"/>
  <c r="K7" i="2"/>
  <c r="J7" i="2"/>
  <c r="G7" i="2"/>
  <c r="F7" i="2"/>
  <c r="E7" i="2"/>
  <c r="D7" i="2"/>
  <c r="M6" i="2"/>
  <c r="L6" i="2"/>
  <c r="K6" i="2"/>
  <c r="J6" i="2"/>
  <c r="G6" i="2"/>
  <c r="F6" i="2"/>
  <c r="E6" i="2"/>
  <c r="D6" i="2"/>
  <c r="M5" i="2"/>
  <c r="L5" i="2"/>
  <c r="K5" i="2"/>
  <c r="J5" i="2"/>
  <c r="G5" i="2"/>
  <c r="E5" i="2"/>
  <c r="D5" i="2"/>
  <c r="E255" i="2"/>
  <c r="E71" i="2" s="1"/>
  <c r="N166" i="2"/>
  <c r="P166" i="2" s="1"/>
  <c r="Q166" i="2" s="1"/>
  <c r="K191" i="2"/>
  <c r="B53" i="5"/>
  <c r="B106" i="12"/>
  <c r="P258" i="2"/>
  <c r="Q258" i="2" s="1"/>
  <c r="B101" i="12"/>
  <c r="B56" i="16"/>
  <c r="P244" i="2"/>
  <c r="Q244" i="2" s="1"/>
  <c r="D90" i="12"/>
  <c r="D81" i="11"/>
  <c r="D47" i="16" s="1"/>
  <c r="D67" i="12"/>
  <c r="D60" i="11"/>
  <c r="D31" i="16" s="1"/>
  <c r="D62" i="12"/>
  <c r="D54" i="11"/>
  <c r="D27" i="16" s="1"/>
  <c r="D57" i="12"/>
  <c r="D49" i="11"/>
  <c r="D87" i="12"/>
  <c r="C79" i="12"/>
  <c r="B68" i="5"/>
  <c r="B25" i="5"/>
  <c r="I74" i="2"/>
  <c r="N181" i="2"/>
  <c r="P181" i="2" s="1"/>
  <c r="Q181" i="2" s="1"/>
  <c r="N236" i="2"/>
  <c r="P236" i="2" s="1"/>
  <c r="I56" i="2"/>
  <c r="I92" i="2"/>
  <c r="M87" i="2"/>
  <c r="Q236" i="2"/>
  <c r="I37" i="12"/>
  <c r="D70" i="12" l="1"/>
  <c r="I70" i="12" s="1"/>
  <c r="X70" i="12" s="1"/>
  <c r="D70" i="11"/>
  <c r="D40" i="16" s="1"/>
  <c r="D61" i="12"/>
  <c r="D37" i="11"/>
  <c r="C88" i="12"/>
  <c r="J17" i="6"/>
  <c r="D61" i="6"/>
  <c r="E61" i="6"/>
  <c r="E63" i="6" s="1"/>
  <c r="C9" i="11"/>
  <c r="I9" i="11" s="1"/>
  <c r="C19" i="12"/>
  <c r="J13" i="7"/>
  <c r="I20" i="7"/>
  <c r="E96" i="12"/>
  <c r="E32" i="15" s="1"/>
  <c r="G101" i="12"/>
  <c r="H70" i="11"/>
  <c r="H40" i="16" s="1"/>
  <c r="D74" i="2"/>
  <c r="P230" i="2"/>
  <c r="Q230" i="2" s="1"/>
  <c r="D46" i="2"/>
  <c r="B78" i="12"/>
  <c r="I78" i="12" s="1"/>
  <c r="AD78" i="12" s="1"/>
  <c r="AF78" i="12" s="1"/>
  <c r="N255" i="2"/>
  <c r="N43" i="2"/>
  <c r="P43" i="2" s="1"/>
  <c r="Q43" i="2" s="1"/>
  <c r="B59" i="16"/>
  <c r="B107" i="12"/>
  <c r="B40" i="11"/>
  <c r="I40" i="11" s="1"/>
  <c r="I76" i="11"/>
  <c r="B45" i="16"/>
  <c r="B48" i="12"/>
  <c r="I48" i="12" s="1"/>
  <c r="AB48" i="12" s="1"/>
  <c r="I84" i="11"/>
  <c r="E11" i="2"/>
  <c r="P128" i="2"/>
  <c r="Q128" i="2" s="1"/>
  <c r="N18" i="2"/>
  <c r="P18" i="2" s="1"/>
  <c r="Q18" i="2" s="1"/>
  <c r="N52" i="2"/>
  <c r="P52" i="2" s="1"/>
  <c r="Q52" i="2" s="1"/>
  <c r="F191" i="2"/>
  <c r="F272" i="2" s="1"/>
  <c r="C191" i="2"/>
  <c r="C272" i="2" s="1"/>
  <c r="G11" i="2"/>
  <c r="J272" i="2"/>
  <c r="K74" i="2"/>
  <c r="B48" i="16"/>
  <c r="I48" i="16" s="1"/>
  <c r="D56" i="2"/>
  <c r="F92" i="2"/>
  <c r="F93" i="2" s="1"/>
  <c r="L74" i="2"/>
  <c r="B31" i="16"/>
  <c r="I100" i="11"/>
  <c r="N9" i="2"/>
  <c r="P9" i="2" s="1"/>
  <c r="Q9" i="2" s="1"/>
  <c r="M74" i="2"/>
  <c r="C66" i="2"/>
  <c r="N39" i="2"/>
  <c r="P39" i="2" s="1"/>
  <c r="Q39" i="2" s="1"/>
  <c r="B35" i="11"/>
  <c r="B34" i="11"/>
  <c r="B17" i="16" s="1"/>
  <c r="M272" i="2"/>
  <c r="P196" i="2"/>
  <c r="Q196" i="2" s="1"/>
  <c r="D53" i="12"/>
  <c r="D45" i="11"/>
  <c r="D23" i="16" s="1"/>
  <c r="D75" i="5"/>
  <c r="D78" i="5" s="1"/>
  <c r="B56" i="2"/>
  <c r="B63" i="6"/>
  <c r="K272" i="2"/>
  <c r="D60" i="2"/>
  <c r="D66" i="2" s="1"/>
  <c r="D92" i="2"/>
  <c r="F72" i="12"/>
  <c r="P98" i="12"/>
  <c r="D18" i="14"/>
  <c r="D28" i="14" s="1"/>
  <c r="H27" i="11"/>
  <c r="D29" i="17"/>
  <c r="G19" i="16"/>
  <c r="D50" i="11"/>
  <c r="I64" i="11"/>
  <c r="N65" i="2"/>
  <c r="P65" i="2" s="1"/>
  <c r="Q65" i="2" s="1"/>
  <c r="N137" i="2"/>
  <c r="J38" i="5"/>
  <c r="F82" i="11"/>
  <c r="F79" i="11"/>
  <c r="F45" i="16" s="1"/>
  <c r="E20" i="7"/>
  <c r="F53" i="5"/>
  <c r="B44" i="16"/>
  <c r="B18" i="14"/>
  <c r="B28" i="14" s="1"/>
  <c r="F28" i="14"/>
  <c r="G38" i="6"/>
  <c r="M56" i="2"/>
  <c r="P245" i="2"/>
  <c r="Q245" i="2" s="1"/>
  <c r="I93" i="11"/>
  <c r="B92" i="2"/>
  <c r="C14" i="11"/>
  <c r="C20" i="7"/>
  <c r="F57" i="11"/>
  <c r="I41" i="16"/>
  <c r="F72" i="10"/>
  <c r="F82" i="10" s="1"/>
  <c r="F85" i="10" s="1"/>
  <c r="L20" i="15"/>
  <c r="T25" i="12"/>
  <c r="Z25" i="12" s="1"/>
  <c r="N27" i="15"/>
  <c r="O35" i="12"/>
  <c r="I96" i="11"/>
  <c r="B42" i="16"/>
  <c r="B88" i="12"/>
  <c r="B92" i="12"/>
  <c r="I92" i="12" s="1"/>
  <c r="X92" i="12" s="1"/>
  <c r="P242" i="2"/>
  <c r="Q242" i="2" s="1"/>
  <c r="P234" i="2"/>
  <c r="Q234" i="2" s="1"/>
  <c r="B95" i="12"/>
  <c r="I95" i="12" s="1"/>
  <c r="AB95" i="12" s="1"/>
  <c r="P225" i="2"/>
  <c r="Q225" i="2" s="1"/>
  <c r="B38" i="11"/>
  <c r="I53" i="11"/>
  <c r="I66" i="12"/>
  <c r="AB66" i="12" s="1"/>
  <c r="C74" i="2"/>
  <c r="B41" i="12"/>
  <c r="I41" i="12" s="1"/>
  <c r="AD41" i="12" s="1"/>
  <c r="AF41" i="12" s="1"/>
  <c r="P262" i="2"/>
  <c r="Q262" i="2" s="1"/>
  <c r="M66" i="2"/>
  <c r="N23" i="2"/>
  <c r="P23" i="2" s="1"/>
  <c r="Q23" i="2" s="1"/>
  <c r="X109" i="12"/>
  <c r="AB109" i="12"/>
  <c r="B74" i="2"/>
  <c r="B37" i="11"/>
  <c r="I93" i="2"/>
  <c r="N55" i="2"/>
  <c r="P55" i="2" s="1"/>
  <c r="Q55" i="2" s="1"/>
  <c r="J66" i="2"/>
  <c r="B45" i="12"/>
  <c r="N24" i="2"/>
  <c r="P24" i="2" s="1"/>
  <c r="Q24" i="2" s="1"/>
  <c r="N32" i="2"/>
  <c r="P32" i="2" s="1"/>
  <c r="Q32" i="2" s="1"/>
  <c r="J91" i="2"/>
  <c r="J92" i="2" s="1"/>
  <c r="L191" i="2"/>
  <c r="L272" i="2" s="1"/>
  <c r="D191" i="2"/>
  <c r="D272" i="2" s="1"/>
  <c r="I19" i="17"/>
  <c r="I29" i="17" s="1"/>
  <c r="J27" i="17"/>
  <c r="H56" i="16"/>
  <c r="H61" i="16" s="1"/>
  <c r="H101" i="12"/>
  <c r="H114" i="12" s="1"/>
  <c r="H35" i="15" s="1"/>
  <c r="H92" i="11"/>
  <c r="H105" i="11" s="1"/>
  <c r="G98" i="11"/>
  <c r="G59" i="16" s="1"/>
  <c r="G92" i="11"/>
  <c r="G60" i="11"/>
  <c r="G31" i="16" s="1"/>
  <c r="G36" i="16" s="1"/>
  <c r="G43" i="16"/>
  <c r="G51" i="16" s="1"/>
  <c r="J80" i="10"/>
  <c r="F70" i="11"/>
  <c r="F40" i="16" s="1"/>
  <c r="F67" i="12"/>
  <c r="F52" i="11"/>
  <c r="F25" i="16" s="1"/>
  <c r="F44" i="11"/>
  <c r="F22" i="16" s="1"/>
  <c r="C72" i="10"/>
  <c r="C82" i="10" s="1"/>
  <c r="C85" i="10" s="1"/>
  <c r="E72" i="10"/>
  <c r="E82" i="10" s="1"/>
  <c r="E85" i="10" s="1"/>
  <c r="I56" i="12"/>
  <c r="AD56" i="12" s="1"/>
  <c r="AF56" i="12" s="1"/>
  <c r="D20" i="10"/>
  <c r="B82" i="10"/>
  <c r="B85" i="10" s="1"/>
  <c r="F34" i="11"/>
  <c r="F17" i="16" s="1"/>
  <c r="I20" i="10"/>
  <c r="E74" i="11"/>
  <c r="E43" i="16" s="1"/>
  <c r="E107" i="12"/>
  <c r="E114" i="12" s="1"/>
  <c r="E35" i="15" s="1"/>
  <c r="J18" i="7"/>
  <c r="E97" i="11"/>
  <c r="C103" i="12"/>
  <c r="I103" i="12" s="1"/>
  <c r="X103" i="12" s="1"/>
  <c r="C65" i="11"/>
  <c r="C35" i="16" s="1"/>
  <c r="C27" i="12"/>
  <c r="C69" i="12"/>
  <c r="C60" i="16"/>
  <c r="I60" i="16" s="1"/>
  <c r="C73" i="11"/>
  <c r="C50" i="11"/>
  <c r="C8" i="11"/>
  <c r="J59" i="6"/>
  <c r="C61" i="6"/>
  <c r="J53" i="6"/>
  <c r="D63" i="6"/>
  <c r="I61" i="6"/>
  <c r="C60" i="11"/>
  <c r="C31" i="16" s="1"/>
  <c r="C24" i="11"/>
  <c r="J44" i="6"/>
  <c r="G61" i="6"/>
  <c r="I38" i="6"/>
  <c r="C38" i="6"/>
  <c r="D105" i="11"/>
  <c r="D97" i="11"/>
  <c r="D58" i="16" s="1"/>
  <c r="D57" i="11"/>
  <c r="D29" i="16" s="1"/>
  <c r="D35" i="11"/>
  <c r="D79" i="11"/>
  <c r="D45" i="16" s="1"/>
  <c r="F25" i="5"/>
  <c r="I90" i="12"/>
  <c r="X90" i="12" s="1"/>
  <c r="E25" i="5"/>
  <c r="T33" i="12"/>
  <c r="U26" i="12" s="1"/>
  <c r="N35" i="12"/>
  <c r="R33" i="15"/>
  <c r="M33" i="15"/>
  <c r="N98" i="12"/>
  <c r="S98" i="12"/>
  <c r="S116" i="12" s="1"/>
  <c r="S120" i="12" s="1"/>
  <c r="N33" i="15"/>
  <c r="N37" i="15" s="1"/>
  <c r="N41" i="15" s="1"/>
  <c r="O98" i="12"/>
  <c r="O116" i="12" s="1"/>
  <c r="O120" i="12" s="1"/>
  <c r="T96" i="12"/>
  <c r="Z96" i="12" s="1"/>
  <c r="S32" i="15"/>
  <c r="Y32" i="15" s="1"/>
  <c r="AB68" i="12"/>
  <c r="T49" i="12"/>
  <c r="U46" i="12" s="1"/>
  <c r="M98" i="12"/>
  <c r="L24" i="15"/>
  <c r="L25" i="15" s="1"/>
  <c r="S25" i="15" s="1"/>
  <c r="Y25" i="15" s="1"/>
  <c r="M35" i="12"/>
  <c r="F11" i="2"/>
  <c r="I23" i="11"/>
  <c r="B272" i="2"/>
  <c r="I101" i="11"/>
  <c r="B110" i="12"/>
  <c r="N270" i="2"/>
  <c r="H19" i="16"/>
  <c r="E36" i="16"/>
  <c r="C74" i="12"/>
  <c r="O33" i="15"/>
  <c r="M27" i="15"/>
  <c r="C96" i="12"/>
  <c r="C32" i="15" s="1"/>
  <c r="R27" i="15"/>
  <c r="I84" i="12"/>
  <c r="X84" i="12" s="1"/>
  <c r="I61" i="12"/>
  <c r="AB61" i="12" s="1"/>
  <c r="P218" i="2"/>
  <c r="Q218" i="2" s="1"/>
  <c r="B89" i="12"/>
  <c r="I89" i="12" s="1"/>
  <c r="P195" i="2"/>
  <c r="Q195" i="2" s="1"/>
  <c r="P259" i="2"/>
  <c r="Q259" i="2" s="1"/>
  <c r="P235" i="2"/>
  <c r="Q235" i="2" s="1"/>
  <c r="D84" i="2"/>
  <c r="I17" i="12"/>
  <c r="AB17" i="12" s="1"/>
  <c r="B111" i="12"/>
  <c r="I111" i="12" s="1"/>
  <c r="AB111" i="12" s="1"/>
  <c r="B94" i="12"/>
  <c r="I94" i="12" s="1"/>
  <c r="AB94" i="12" s="1"/>
  <c r="B108" i="12"/>
  <c r="I108" i="12" s="1"/>
  <c r="X108" i="12" s="1"/>
  <c r="P210" i="2"/>
  <c r="Q210" i="2" s="1"/>
  <c r="B22" i="16"/>
  <c r="P198" i="2"/>
  <c r="Q198" i="2" s="1"/>
  <c r="I57" i="12"/>
  <c r="AD57" i="12" s="1"/>
  <c r="AF57" i="12" s="1"/>
  <c r="B40" i="16"/>
  <c r="B50" i="16"/>
  <c r="I50" i="16" s="1"/>
  <c r="I99" i="11"/>
  <c r="G84" i="2"/>
  <c r="I103" i="11"/>
  <c r="I59" i="11"/>
  <c r="I22" i="11"/>
  <c r="C34" i="2"/>
  <c r="N14" i="2"/>
  <c r="P14" i="2" s="1"/>
  <c r="Q14" i="2" s="1"/>
  <c r="B44" i="12"/>
  <c r="L84" i="2"/>
  <c r="B84" i="2"/>
  <c r="N29" i="2"/>
  <c r="P29" i="2" s="1"/>
  <c r="Q29" i="2" s="1"/>
  <c r="N30" i="2"/>
  <c r="P30" i="2" s="1"/>
  <c r="Q30" i="2" s="1"/>
  <c r="P116" i="2"/>
  <c r="Q116" i="2" s="1"/>
  <c r="G46" i="2"/>
  <c r="D44" i="12"/>
  <c r="D56" i="16"/>
  <c r="D101" i="12"/>
  <c r="J66" i="5"/>
  <c r="D69" i="11"/>
  <c r="D39" i="16" s="1"/>
  <c r="D77" i="12"/>
  <c r="D72" i="12"/>
  <c r="D60" i="12"/>
  <c r="D34" i="11"/>
  <c r="D17" i="16" s="1"/>
  <c r="D32" i="11"/>
  <c r="D16" i="16" s="1"/>
  <c r="I25" i="5"/>
  <c r="C68" i="5"/>
  <c r="C75" i="5" s="1"/>
  <c r="C78" i="5" s="1"/>
  <c r="D35" i="16"/>
  <c r="D48" i="11"/>
  <c r="D24" i="16" s="1"/>
  <c r="D74" i="11"/>
  <c r="D61" i="16"/>
  <c r="B75" i="5"/>
  <c r="B78" i="5" s="1"/>
  <c r="D58" i="11"/>
  <c r="D30" i="16" s="1"/>
  <c r="D73" i="12"/>
  <c r="D73" i="11"/>
  <c r="D63" i="11"/>
  <c r="D34" i="16" s="1"/>
  <c r="F68" i="5"/>
  <c r="F75" i="5" s="1"/>
  <c r="F78" i="5" s="1"/>
  <c r="J23" i="5"/>
  <c r="I72" i="12"/>
  <c r="J73" i="5"/>
  <c r="I65" i="12"/>
  <c r="AB65" i="12" s="1"/>
  <c r="C10" i="11"/>
  <c r="C19" i="11"/>
  <c r="C21" i="11"/>
  <c r="N69" i="2"/>
  <c r="N70" i="2"/>
  <c r="P70" i="2" s="1"/>
  <c r="Q70" i="2" s="1"/>
  <c r="B34" i="16"/>
  <c r="B79" i="12"/>
  <c r="I79" i="12" s="1"/>
  <c r="P237" i="2"/>
  <c r="Q237" i="2" s="1"/>
  <c r="I62" i="11"/>
  <c r="I75" i="11"/>
  <c r="I71" i="12"/>
  <c r="P211" i="2"/>
  <c r="Q211" i="2" s="1"/>
  <c r="B27" i="16"/>
  <c r="P207" i="2"/>
  <c r="Q207" i="2" s="1"/>
  <c r="I62" i="12"/>
  <c r="X62" i="12" s="1"/>
  <c r="P219" i="2"/>
  <c r="Q219" i="2" s="1"/>
  <c r="B25" i="16"/>
  <c r="P217" i="2"/>
  <c r="Q217" i="2" s="1"/>
  <c r="B30" i="16"/>
  <c r="B46" i="12"/>
  <c r="G74" i="2"/>
  <c r="P197" i="2"/>
  <c r="Q197" i="2" s="1"/>
  <c r="G272" i="2"/>
  <c r="J34" i="2"/>
  <c r="K34" i="2"/>
  <c r="AB93" i="12"/>
  <c r="X93" i="12"/>
  <c r="N17" i="2"/>
  <c r="P17" i="2" s="1"/>
  <c r="Q17" i="2" s="1"/>
  <c r="C11" i="2"/>
  <c r="G56" i="2"/>
  <c r="G66" i="2"/>
  <c r="P136" i="2"/>
  <c r="Q136" i="2" s="1"/>
  <c r="X68" i="12"/>
  <c r="AD68" i="12"/>
  <c r="AF68" i="12" s="1"/>
  <c r="L11" i="2"/>
  <c r="N8" i="2"/>
  <c r="P8" i="2" s="1"/>
  <c r="Q8" i="2" s="1"/>
  <c r="K88" i="2"/>
  <c r="N88" i="2" s="1"/>
  <c r="P88" i="2" s="1"/>
  <c r="Q88" i="2" s="1"/>
  <c r="K66" i="2"/>
  <c r="P106" i="2"/>
  <c r="Q106" i="2" s="1"/>
  <c r="I18" i="12"/>
  <c r="P133" i="2"/>
  <c r="Q133" i="2" s="1"/>
  <c r="C46" i="2"/>
  <c r="N40" i="2"/>
  <c r="P40" i="2" s="1"/>
  <c r="Q40" i="2" s="1"/>
  <c r="X48" i="12"/>
  <c r="I80" i="11"/>
  <c r="B46" i="16"/>
  <c r="I46" i="16" s="1"/>
  <c r="AB105" i="12"/>
  <c r="X105" i="12"/>
  <c r="AB102" i="12"/>
  <c r="X102" i="12"/>
  <c r="J56" i="2"/>
  <c r="J82" i="2"/>
  <c r="K83" i="2"/>
  <c r="K84" i="2" s="1"/>
  <c r="K56" i="2"/>
  <c r="M84" i="2"/>
  <c r="L66" i="2"/>
  <c r="L56" i="2"/>
  <c r="K11" i="2"/>
  <c r="N16" i="2"/>
  <c r="P16" i="2" s="1"/>
  <c r="Q16" i="2" s="1"/>
  <c r="D34" i="2"/>
  <c r="N90" i="2"/>
  <c r="P90" i="2" s="1"/>
  <c r="Q90" i="2" s="1"/>
  <c r="I43" i="12"/>
  <c r="AB43" i="12" s="1"/>
  <c r="N28" i="2"/>
  <c r="P28" i="2" s="1"/>
  <c r="Q28" i="2" s="1"/>
  <c r="N63" i="2"/>
  <c r="P63" i="2" s="1"/>
  <c r="Q63" i="2" s="1"/>
  <c r="N27" i="2"/>
  <c r="P27" i="2" s="1"/>
  <c r="Q27" i="2" s="1"/>
  <c r="N22" i="2"/>
  <c r="P22" i="2" s="1"/>
  <c r="Q22" i="2" s="1"/>
  <c r="M92" i="2"/>
  <c r="M11" i="2"/>
  <c r="N6" i="2"/>
  <c r="P6" i="2" s="1"/>
  <c r="Q6" i="2" s="1"/>
  <c r="J11" i="2"/>
  <c r="N10" i="2"/>
  <c r="F34" i="2"/>
  <c r="L34" i="2"/>
  <c r="N25" i="2"/>
  <c r="P25" i="2" s="1"/>
  <c r="Q25" i="2" s="1"/>
  <c r="G92" i="2"/>
  <c r="N89" i="2"/>
  <c r="P89" i="2" s="1"/>
  <c r="Q89" i="2" s="1"/>
  <c r="I42" i="12"/>
  <c r="X42" i="12" s="1"/>
  <c r="I191" i="2"/>
  <c r="I272" i="2" s="1"/>
  <c r="F80" i="12"/>
  <c r="I80" i="12" s="1"/>
  <c r="AB80" i="12" s="1"/>
  <c r="F54" i="11"/>
  <c r="F36" i="11"/>
  <c r="I36" i="11" s="1"/>
  <c r="F35" i="11"/>
  <c r="F56" i="16"/>
  <c r="F44" i="16"/>
  <c r="F87" i="12"/>
  <c r="I87" i="12" s="1"/>
  <c r="F51" i="11"/>
  <c r="I51" i="11" s="1"/>
  <c r="F40" i="12"/>
  <c r="F81" i="11"/>
  <c r="F32" i="11"/>
  <c r="F16" i="16" s="1"/>
  <c r="F91" i="12"/>
  <c r="I91" i="12" s="1"/>
  <c r="F48" i="11"/>
  <c r="F24" i="11"/>
  <c r="F25" i="11" s="1"/>
  <c r="F98" i="11"/>
  <c r="J14" i="10"/>
  <c r="F14" i="11" s="1"/>
  <c r="F15" i="11" s="1"/>
  <c r="F27" i="11" s="1"/>
  <c r="F65" i="11"/>
  <c r="P193" i="2"/>
  <c r="Q193" i="2" s="1"/>
  <c r="B40" i="12"/>
  <c r="I49" i="11"/>
  <c r="F81" i="12"/>
  <c r="I81" i="12" s="1"/>
  <c r="J70" i="10"/>
  <c r="F72" i="11"/>
  <c r="F42" i="16" s="1"/>
  <c r="B32" i="11"/>
  <c r="AB56" i="12"/>
  <c r="N62" i="2"/>
  <c r="P62" i="2" s="1"/>
  <c r="Q62" i="2" s="1"/>
  <c r="E66" i="2"/>
  <c r="AB78" i="12"/>
  <c r="F38" i="11"/>
  <c r="F46" i="12"/>
  <c r="J32" i="10"/>
  <c r="F54" i="12"/>
  <c r="F46" i="11"/>
  <c r="G27" i="15"/>
  <c r="G7" i="16"/>
  <c r="G11" i="16" s="1"/>
  <c r="D25" i="16"/>
  <c r="E74" i="2"/>
  <c r="N71" i="2"/>
  <c r="P71" i="2" s="1"/>
  <c r="Q71" i="2" s="1"/>
  <c r="M34" i="2"/>
  <c r="N72" i="2"/>
  <c r="P72" i="2" s="1"/>
  <c r="Q72" i="2" s="1"/>
  <c r="F74" i="2"/>
  <c r="N73" i="2"/>
  <c r="P73" i="2" s="1"/>
  <c r="Q73" i="2" s="1"/>
  <c r="P103" i="2"/>
  <c r="Q103" i="2" s="1"/>
  <c r="P126" i="2"/>
  <c r="Q126" i="2" s="1"/>
  <c r="P107" i="2"/>
  <c r="Q107" i="2" s="1"/>
  <c r="I19" i="12"/>
  <c r="B66" i="2"/>
  <c r="N59" i="2"/>
  <c r="P59" i="2" s="1"/>
  <c r="Q59" i="2" s="1"/>
  <c r="B46" i="2"/>
  <c r="N33" i="2"/>
  <c r="P33" i="2" s="1"/>
  <c r="Q33" i="2" s="1"/>
  <c r="B34" i="2"/>
  <c r="N15" i="2"/>
  <c r="P15" i="2" s="1"/>
  <c r="Q15" i="2" s="1"/>
  <c r="B11" i="2"/>
  <c r="N7" i="2"/>
  <c r="P7" i="2" s="1"/>
  <c r="Q7" i="2" s="1"/>
  <c r="E272" i="2"/>
  <c r="G34" i="2"/>
  <c r="E34" i="2"/>
  <c r="E35" i="2" s="1"/>
  <c r="N54" i="2"/>
  <c r="P54" i="2" s="1"/>
  <c r="Q54" i="2" s="1"/>
  <c r="F56" i="2"/>
  <c r="E92" i="2"/>
  <c r="L92" i="2"/>
  <c r="N61" i="2"/>
  <c r="P61" i="2" s="1"/>
  <c r="Q61" i="2" s="1"/>
  <c r="I66" i="2"/>
  <c r="I67" i="2" s="1"/>
  <c r="P115" i="2"/>
  <c r="Q115" i="2" s="1"/>
  <c r="P132" i="2"/>
  <c r="Q132" i="2" s="1"/>
  <c r="E82" i="2"/>
  <c r="E84" i="2" s="1"/>
  <c r="E56" i="2"/>
  <c r="P111" i="2"/>
  <c r="Q111" i="2" s="1"/>
  <c r="I12" i="11"/>
  <c r="I20" i="12"/>
  <c r="I13" i="11"/>
  <c r="I21" i="12"/>
  <c r="P162" i="2"/>
  <c r="Q162" i="2" s="1"/>
  <c r="P255" i="2"/>
  <c r="Q255" i="2" s="1"/>
  <c r="P227" i="2"/>
  <c r="Q227" i="2" s="1"/>
  <c r="C87" i="2"/>
  <c r="N58" i="2"/>
  <c r="C82" i="2"/>
  <c r="C56" i="2"/>
  <c r="D11" i="2"/>
  <c r="N5" i="2"/>
  <c r="N38" i="2"/>
  <c r="P38" i="2" s="1"/>
  <c r="Q38" i="2" s="1"/>
  <c r="E46" i="2"/>
  <c r="J83" i="2"/>
  <c r="N53" i="2"/>
  <c r="P53" i="2" s="1"/>
  <c r="Q53" i="2" s="1"/>
  <c r="P203" i="2"/>
  <c r="Q203" i="2" s="1"/>
  <c r="B39" i="11"/>
  <c r="B47" i="12"/>
  <c r="I47" i="12" s="1"/>
  <c r="J74" i="2"/>
  <c r="N223" i="2"/>
  <c r="P223" i="2" s="1"/>
  <c r="Q223" i="2" s="1"/>
  <c r="P208" i="2"/>
  <c r="Q208" i="2" s="1"/>
  <c r="I64" i="12"/>
  <c r="J41" i="10"/>
  <c r="J56" i="10" s="1"/>
  <c r="D56" i="10"/>
  <c r="D72" i="10" s="1"/>
  <c r="F56" i="11"/>
  <c r="F63" i="12"/>
  <c r="I63" i="12" s="1"/>
  <c r="C106" i="12"/>
  <c r="C97" i="11"/>
  <c r="C105" i="11" s="1"/>
  <c r="E69" i="12"/>
  <c r="E74" i="12" s="1"/>
  <c r="E31" i="15" s="1"/>
  <c r="E72" i="11"/>
  <c r="L21" i="15"/>
  <c r="E7" i="16"/>
  <c r="E11" i="16" s="1"/>
  <c r="E27" i="15"/>
  <c r="Z31" i="12"/>
  <c r="E30" i="15"/>
  <c r="E40" i="16"/>
  <c r="I71" i="11"/>
  <c r="F55" i="11"/>
  <c r="F37" i="11"/>
  <c r="F45" i="12"/>
  <c r="I72" i="10"/>
  <c r="I82" i="10" s="1"/>
  <c r="I85" i="10" s="1"/>
  <c r="Z62" i="12"/>
  <c r="Z82" i="12"/>
  <c r="P20" i="15"/>
  <c r="P21" i="15" s="1"/>
  <c r="P27" i="15" s="1"/>
  <c r="Q35" i="12"/>
  <c r="F55" i="12"/>
  <c r="I55" i="12" s="1"/>
  <c r="F47" i="11"/>
  <c r="F77" i="12"/>
  <c r="F69" i="11"/>
  <c r="F83" i="12"/>
  <c r="F74" i="11"/>
  <c r="F43" i="16" s="1"/>
  <c r="L33" i="15"/>
  <c r="Z55" i="12"/>
  <c r="AB85" i="12"/>
  <c r="X85" i="12"/>
  <c r="B104" i="12"/>
  <c r="F36" i="6"/>
  <c r="F38" i="6" s="1"/>
  <c r="J31" i="6"/>
  <c r="C18" i="11" s="1"/>
  <c r="F107" i="12"/>
  <c r="H7" i="16"/>
  <c r="H11" i="16" s="1"/>
  <c r="H27" i="15"/>
  <c r="O20" i="15"/>
  <c r="O21" i="15" s="1"/>
  <c r="O27" i="15" s="1"/>
  <c r="P35" i="12"/>
  <c r="T23" i="12"/>
  <c r="Z71" i="12"/>
  <c r="O35" i="15"/>
  <c r="D77" i="11"/>
  <c r="D86" i="12"/>
  <c r="H60" i="11"/>
  <c r="H66" i="11" s="1"/>
  <c r="H67" i="12"/>
  <c r="J12" i="17"/>
  <c r="J19" i="17" s="1"/>
  <c r="J29" i="17" s="1"/>
  <c r="F45" i="11"/>
  <c r="F82" i="12"/>
  <c r="F92" i="11"/>
  <c r="H35" i="12"/>
  <c r="E35" i="12"/>
  <c r="C20" i="11"/>
  <c r="C28" i="12"/>
  <c r="H51" i="16"/>
  <c r="R35" i="12"/>
  <c r="H28" i="16"/>
  <c r="J17" i="5"/>
  <c r="F61" i="6"/>
  <c r="I35" i="5"/>
  <c r="I68" i="5" s="1"/>
  <c r="J34" i="5"/>
  <c r="E68" i="5"/>
  <c r="B83" i="12"/>
  <c r="J18" i="14"/>
  <c r="G56" i="16"/>
  <c r="G32" i="15"/>
  <c r="G33" i="15" s="1"/>
  <c r="G98" i="12"/>
  <c r="G106" i="12"/>
  <c r="J26" i="14"/>
  <c r="I28" i="14"/>
  <c r="R98" i="12"/>
  <c r="Q30" i="15"/>
  <c r="Q33" i="15" s="1"/>
  <c r="Q37" i="15" s="1"/>
  <c r="Q41" i="15" s="1"/>
  <c r="Q74" i="12"/>
  <c r="Q98" i="12" s="1"/>
  <c r="T59" i="12"/>
  <c r="P35" i="15"/>
  <c r="T107" i="12"/>
  <c r="Z107" i="12" s="1"/>
  <c r="F60" i="2"/>
  <c r="C104" i="12"/>
  <c r="C74" i="11"/>
  <c r="I88" i="12" l="1"/>
  <c r="X88" i="12" s="1"/>
  <c r="C63" i="6"/>
  <c r="G63" i="6"/>
  <c r="C23" i="12"/>
  <c r="I82" i="12"/>
  <c r="AB82" i="12" s="1"/>
  <c r="E98" i="12"/>
  <c r="E116" i="12" s="1"/>
  <c r="E120" i="12" s="1"/>
  <c r="H87" i="11"/>
  <c r="P69" i="2"/>
  <c r="Q69" i="2" s="1"/>
  <c r="N74" i="2"/>
  <c r="P74" i="2" s="1"/>
  <c r="Q74" i="2" s="1"/>
  <c r="X78" i="12"/>
  <c r="F35" i="2"/>
  <c r="N91" i="2"/>
  <c r="P91" i="2" s="1"/>
  <c r="Q91" i="2" s="1"/>
  <c r="B49" i="16"/>
  <c r="I49" i="16" s="1"/>
  <c r="AD48" i="12"/>
  <c r="AF48" i="12" s="1"/>
  <c r="I79" i="11"/>
  <c r="C67" i="2"/>
  <c r="I83" i="11"/>
  <c r="G35" i="2"/>
  <c r="G36" i="2" s="1"/>
  <c r="J67" i="2"/>
  <c r="B93" i="2"/>
  <c r="N190" i="2"/>
  <c r="P190" i="2" s="1"/>
  <c r="Q190" i="2" s="1"/>
  <c r="K92" i="2"/>
  <c r="G93" i="2"/>
  <c r="X66" i="12"/>
  <c r="D67" i="2"/>
  <c r="D35" i="2"/>
  <c r="D36" i="2" s="1"/>
  <c r="I82" i="11"/>
  <c r="D93" i="2"/>
  <c r="M67" i="2"/>
  <c r="E93" i="2"/>
  <c r="L93" i="2"/>
  <c r="B67" i="2"/>
  <c r="I44" i="16"/>
  <c r="B26" i="16"/>
  <c r="I26" i="16" s="1"/>
  <c r="I73" i="11"/>
  <c r="X95" i="12"/>
  <c r="B35" i="16"/>
  <c r="I78" i="11"/>
  <c r="P137" i="2"/>
  <c r="Q137" i="2" s="1"/>
  <c r="P116" i="12"/>
  <c r="P120" i="12" s="1"/>
  <c r="I107" i="12"/>
  <c r="AB107" i="12" s="1"/>
  <c r="I45" i="12"/>
  <c r="X45" i="12" s="1"/>
  <c r="AD80" i="12"/>
  <c r="AF80" i="12" s="1"/>
  <c r="AB90" i="12"/>
  <c r="AB41" i="12"/>
  <c r="AB92" i="12"/>
  <c r="I19" i="11"/>
  <c r="B105" i="11"/>
  <c r="I65" i="11"/>
  <c r="C114" i="12"/>
  <c r="C35" i="15" s="1"/>
  <c r="G66" i="11"/>
  <c r="G89" i="11" s="1"/>
  <c r="F105" i="11"/>
  <c r="I47" i="11"/>
  <c r="AD66" i="12"/>
  <c r="AF66" i="12" s="1"/>
  <c r="I8" i="11"/>
  <c r="X41" i="12"/>
  <c r="C15" i="11"/>
  <c r="N116" i="12"/>
  <c r="N120" i="12" s="1"/>
  <c r="M37" i="15"/>
  <c r="M41" i="15" s="1"/>
  <c r="U27" i="12"/>
  <c r="U32" i="12"/>
  <c r="S35" i="15"/>
  <c r="Y35" i="15" s="1"/>
  <c r="R37" i="15"/>
  <c r="R41" i="15" s="1"/>
  <c r="I73" i="12"/>
  <c r="X73" i="12" s="1"/>
  <c r="AB84" i="12"/>
  <c r="I52" i="11"/>
  <c r="I44" i="12"/>
  <c r="AB44" i="12" s="1"/>
  <c r="I27" i="12"/>
  <c r="X27" i="12" s="1"/>
  <c r="H89" i="11"/>
  <c r="H107" i="11" s="1"/>
  <c r="H111" i="11" s="1"/>
  <c r="I101" i="12"/>
  <c r="AB101" i="12" s="1"/>
  <c r="G105" i="11"/>
  <c r="G107" i="11" s="1"/>
  <c r="G111" i="11" s="1"/>
  <c r="I119" i="12"/>
  <c r="J28" i="14"/>
  <c r="G114" i="12"/>
  <c r="G116" i="12" s="1"/>
  <c r="G120" i="12" s="1"/>
  <c r="I70" i="11"/>
  <c r="X56" i="12"/>
  <c r="F114" i="12"/>
  <c r="F35" i="15" s="1"/>
  <c r="D82" i="10"/>
  <c r="D85" i="10" s="1"/>
  <c r="AB108" i="12"/>
  <c r="I17" i="16"/>
  <c r="J20" i="7"/>
  <c r="E58" i="16"/>
  <c r="E61" i="16" s="1"/>
  <c r="E105" i="11"/>
  <c r="E33" i="15"/>
  <c r="E37" i="15" s="1"/>
  <c r="E41" i="15" s="1"/>
  <c r="C98" i="12"/>
  <c r="C66" i="11"/>
  <c r="AB103" i="12"/>
  <c r="C31" i="15"/>
  <c r="C33" i="15" s="1"/>
  <c r="C24" i="16"/>
  <c r="C36" i="16" s="1"/>
  <c r="J61" i="6"/>
  <c r="I63" i="6"/>
  <c r="I45" i="16"/>
  <c r="D114" i="12"/>
  <c r="D35" i="15" s="1"/>
  <c r="E75" i="5"/>
  <c r="E78" i="5" s="1"/>
  <c r="AD43" i="12"/>
  <c r="AF43" i="12" s="1"/>
  <c r="I35" i="11"/>
  <c r="U31" i="12"/>
  <c r="U29" i="12"/>
  <c r="U30" i="12"/>
  <c r="U28" i="12"/>
  <c r="Z33" i="12"/>
  <c r="U40" i="12"/>
  <c r="U82" i="12"/>
  <c r="U93" i="12"/>
  <c r="U86" i="12"/>
  <c r="U90" i="12"/>
  <c r="U87" i="12"/>
  <c r="U84" i="12"/>
  <c r="U88" i="12"/>
  <c r="U94" i="12"/>
  <c r="U80" i="12"/>
  <c r="U85" i="12"/>
  <c r="U79" i="12"/>
  <c r="U92" i="12"/>
  <c r="U89" i="12"/>
  <c r="U91" i="12"/>
  <c r="U77" i="12"/>
  <c r="U83" i="12"/>
  <c r="U95" i="12"/>
  <c r="U81" i="12"/>
  <c r="U78" i="12"/>
  <c r="T98" i="12"/>
  <c r="Z98" i="12" s="1"/>
  <c r="U44" i="12"/>
  <c r="M116" i="12"/>
  <c r="M120" i="12" s="1"/>
  <c r="Z49" i="12"/>
  <c r="U48" i="12"/>
  <c r="U47" i="12"/>
  <c r="U41" i="12"/>
  <c r="U45" i="12"/>
  <c r="U42" i="12"/>
  <c r="U43" i="12"/>
  <c r="S24" i="15"/>
  <c r="Y24" i="15" s="1"/>
  <c r="AD17" i="12"/>
  <c r="AF17" i="12" s="1"/>
  <c r="P270" i="2"/>
  <c r="Q270" i="2" s="1"/>
  <c r="I110" i="12"/>
  <c r="AB110" i="12" s="1"/>
  <c r="B114" i="12"/>
  <c r="I40" i="16"/>
  <c r="I21" i="11"/>
  <c r="I106" i="12"/>
  <c r="X106" i="12" s="1"/>
  <c r="X89" i="12"/>
  <c r="AB89" i="12"/>
  <c r="I25" i="16"/>
  <c r="X94" i="12"/>
  <c r="I85" i="11"/>
  <c r="J35" i="2"/>
  <c r="J36" i="2" s="1"/>
  <c r="I63" i="11"/>
  <c r="X17" i="12"/>
  <c r="I29" i="12"/>
  <c r="X29" i="12" s="1"/>
  <c r="N204" i="2"/>
  <c r="P204" i="2" s="1"/>
  <c r="Q204" i="2" s="1"/>
  <c r="C35" i="2"/>
  <c r="C47" i="2" s="1"/>
  <c r="I30" i="12"/>
  <c r="AB30" i="12" s="1"/>
  <c r="I31" i="12"/>
  <c r="AD88" i="12"/>
  <c r="AF88" i="12" s="1"/>
  <c r="AD70" i="12"/>
  <c r="AF70" i="12" s="1"/>
  <c r="I60" i="12"/>
  <c r="AB60" i="12" s="1"/>
  <c r="AB88" i="12"/>
  <c r="AB70" i="12"/>
  <c r="I30" i="16"/>
  <c r="AB62" i="12"/>
  <c r="X57" i="12"/>
  <c r="I48" i="11"/>
  <c r="I34" i="11"/>
  <c r="I75" i="5"/>
  <c r="I78" i="5" s="1"/>
  <c r="J53" i="5"/>
  <c r="D52" i="12"/>
  <c r="D74" i="12" s="1"/>
  <c r="D31" i="15" s="1"/>
  <c r="D44" i="11"/>
  <c r="AB57" i="12"/>
  <c r="X65" i="12"/>
  <c r="AD61" i="12"/>
  <c r="AF61" i="12" s="1"/>
  <c r="D24" i="11"/>
  <c r="D25" i="11" s="1"/>
  <c r="D32" i="12"/>
  <c r="D33" i="12" s="1"/>
  <c r="D24" i="15" s="1"/>
  <c r="D25" i="15" s="1"/>
  <c r="D9" i="16" s="1"/>
  <c r="AD65" i="12"/>
  <c r="AF65" i="12" s="1"/>
  <c r="AD62" i="12"/>
  <c r="AF62" i="12" s="1"/>
  <c r="X61" i="12"/>
  <c r="I34" i="16"/>
  <c r="X72" i="12"/>
  <c r="AB72" i="12"/>
  <c r="I10" i="11"/>
  <c r="J36" i="6"/>
  <c r="J38" i="6" s="1"/>
  <c r="C26" i="12"/>
  <c r="C33" i="12" s="1"/>
  <c r="C24" i="15" s="1"/>
  <c r="C25" i="15" s="1"/>
  <c r="B33" i="12"/>
  <c r="AD71" i="12"/>
  <c r="AF71" i="12" s="1"/>
  <c r="AB71" i="12"/>
  <c r="X71" i="12"/>
  <c r="X79" i="12"/>
  <c r="AD79" i="12"/>
  <c r="AF79" i="12" s="1"/>
  <c r="AB79" i="12"/>
  <c r="B33" i="16"/>
  <c r="I33" i="16" s="1"/>
  <c r="I61" i="11"/>
  <c r="I46" i="11"/>
  <c r="I58" i="11"/>
  <c r="I54" i="12"/>
  <c r="X54" i="12" s="1"/>
  <c r="AD42" i="12"/>
  <c r="AF42" i="12" s="1"/>
  <c r="N191" i="2"/>
  <c r="M93" i="2"/>
  <c r="L35" i="2"/>
  <c r="K35" i="2"/>
  <c r="AB42" i="12"/>
  <c r="F47" i="2"/>
  <c r="F36" i="2"/>
  <c r="K93" i="2"/>
  <c r="X43" i="12"/>
  <c r="L67" i="2"/>
  <c r="K67" i="2"/>
  <c r="AB18" i="12"/>
  <c r="X18" i="12"/>
  <c r="AD18" i="12"/>
  <c r="AF18" i="12" s="1"/>
  <c r="G67" i="2"/>
  <c r="N20" i="2"/>
  <c r="N34" i="2" s="1"/>
  <c r="P34" i="2" s="1"/>
  <c r="Q34" i="2" s="1"/>
  <c r="I75" i="2"/>
  <c r="N46" i="2"/>
  <c r="P46" i="2" s="1"/>
  <c r="Q46" i="2" s="1"/>
  <c r="X80" i="12"/>
  <c r="I74" i="11"/>
  <c r="F27" i="16"/>
  <c r="I27" i="16" s="1"/>
  <c r="I54" i="11"/>
  <c r="F35" i="16"/>
  <c r="J20" i="10"/>
  <c r="F22" i="12"/>
  <c r="F23" i="12" s="1"/>
  <c r="F20" i="15" s="1"/>
  <c r="F21" i="15" s="1"/>
  <c r="X91" i="12"/>
  <c r="AB91" i="12"/>
  <c r="AD91" i="12"/>
  <c r="AD87" i="12"/>
  <c r="AF87" i="12" s="1"/>
  <c r="AB87" i="12"/>
  <c r="X87" i="12"/>
  <c r="F23" i="16"/>
  <c r="F49" i="12"/>
  <c r="F30" i="15" s="1"/>
  <c r="F59" i="16"/>
  <c r="I98" i="11"/>
  <c r="I81" i="11"/>
  <c r="F47" i="16"/>
  <c r="I47" i="16" s="1"/>
  <c r="I77" i="11"/>
  <c r="D87" i="11"/>
  <c r="D43" i="16"/>
  <c r="D51" i="16" s="1"/>
  <c r="B43" i="16"/>
  <c r="F96" i="12"/>
  <c r="F32" i="15" s="1"/>
  <c r="I77" i="12"/>
  <c r="AB63" i="12"/>
  <c r="X63" i="12"/>
  <c r="AD63" i="12"/>
  <c r="AF63" i="12" s="1"/>
  <c r="B23" i="16"/>
  <c r="I45" i="11"/>
  <c r="B66" i="11"/>
  <c r="I11" i="11"/>
  <c r="B15" i="11"/>
  <c r="M35" i="2"/>
  <c r="N56" i="2"/>
  <c r="G53" i="16"/>
  <c r="H31" i="16"/>
  <c r="I60" i="11"/>
  <c r="T114" i="12"/>
  <c r="Z23" i="12"/>
  <c r="U20" i="12"/>
  <c r="U22" i="12"/>
  <c r="U17" i="12"/>
  <c r="U19" i="12"/>
  <c r="U21" i="12"/>
  <c r="U18" i="12"/>
  <c r="U16" i="12"/>
  <c r="I104" i="12"/>
  <c r="E42" i="16"/>
  <c r="I42" i="16" s="1"/>
  <c r="I72" i="11"/>
  <c r="I56" i="11"/>
  <c r="F29" i="16"/>
  <c r="F50" i="11"/>
  <c r="F24" i="16" s="1"/>
  <c r="F58" i="12"/>
  <c r="I58" i="12" s="1"/>
  <c r="I53" i="12"/>
  <c r="B74" i="12"/>
  <c r="C84" i="2"/>
  <c r="N82" i="2"/>
  <c r="AB21" i="12"/>
  <c r="X21" i="12"/>
  <c r="I16" i="12"/>
  <c r="B23" i="12"/>
  <c r="B20" i="15" s="1"/>
  <c r="X81" i="12"/>
  <c r="AD81" i="12"/>
  <c r="AF81" i="12" s="1"/>
  <c r="AB81" i="12"/>
  <c r="B49" i="12"/>
  <c r="I40" i="12"/>
  <c r="Z59" i="12"/>
  <c r="H74" i="12"/>
  <c r="I67" i="12"/>
  <c r="I95" i="11"/>
  <c r="B57" i="16"/>
  <c r="B24" i="16"/>
  <c r="I39" i="11"/>
  <c r="B18" i="16"/>
  <c r="B16" i="16"/>
  <c r="I32" i="11"/>
  <c r="B41" i="11"/>
  <c r="I83" i="12"/>
  <c r="B96" i="12"/>
  <c r="C43" i="16"/>
  <c r="C51" i="16" s="1"/>
  <c r="C87" i="11"/>
  <c r="C89" i="11" s="1"/>
  <c r="G61" i="16"/>
  <c r="I56" i="16"/>
  <c r="AB59" i="12"/>
  <c r="C25" i="11"/>
  <c r="X55" i="12"/>
  <c r="AD55" i="12"/>
  <c r="AF55" i="12" s="1"/>
  <c r="AB55" i="12"/>
  <c r="F18" i="16"/>
  <c r="F19" i="16" s="1"/>
  <c r="I37" i="11"/>
  <c r="S20" i="15"/>
  <c r="Y20" i="15" s="1"/>
  <c r="F41" i="11"/>
  <c r="I57" i="11"/>
  <c r="B29" i="16"/>
  <c r="N11" i="2"/>
  <c r="P5" i="2"/>
  <c r="Q5" i="2" s="1"/>
  <c r="P58" i="2"/>
  <c r="Q58" i="2" s="1"/>
  <c r="B39" i="16"/>
  <c r="B87" i="11"/>
  <c r="I69" i="11"/>
  <c r="I28" i="12"/>
  <c r="J72" i="10"/>
  <c r="N60" i="2"/>
  <c r="P60" i="2" s="1"/>
  <c r="Q60" i="2" s="1"/>
  <c r="F66" i="2"/>
  <c r="F67" i="2" s="1"/>
  <c r="F75" i="2" s="1"/>
  <c r="D38" i="11"/>
  <c r="J35" i="5"/>
  <c r="D46" i="12"/>
  <c r="X82" i="12"/>
  <c r="P31" i="15"/>
  <c r="T74" i="12"/>
  <c r="D22" i="12"/>
  <c r="D14" i="11"/>
  <c r="J25" i="5"/>
  <c r="R116" i="12"/>
  <c r="R120" i="12" s="1"/>
  <c r="I92" i="11"/>
  <c r="I86" i="12"/>
  <c r="D96" i="12"/>
  <c r="D32" i="15" s="1"/>
  <c r="O37" i="15"/>
  <c r="O41" i="15" s="1"/>
  <c r="AD59" i="12"/>
  <c r="AF59" i="12" s="1"/>
  <c r="F63" i="6"/>
  <c r="S30" i="15"/>
  <c r="F39" i="16"/>
  <c r="F87" i="11"/>
  <c r="Q116" i="12"/>
  <c r="Q120" i="12" s="1"/>
  <c r="F28" i="16"/>
  <c r="I28" i="16" s="1"/>
  <c r="I55" i="11"/>
  <c r="L27" i="15"/>
  <c r="S21" i="15"/>
  <c r="Y21" i="15" s="1"/>
  <c r="E87" i="11"/>
  <c r="E89" i="11" s="1"/>
  <c r="E107" i="11" s="1"/>
  <c r="E111" i="11" s="1"/>
  <c r="I97" i="11"/>
  <c r="C58" i="16"/>
  <c r="T35" i="12"/>
  <c r="I69" i="12"/>
  <c r="AD64" i="12"/>
  <c r="AF64" i="12" s="1"/>
  <c r="AB64" i="12"/>
  <c r="X64" i="12"/>
  <c r="X47" i="12"/>
  <c r="AB47" i="12"/>
  <c r="AD47" i="12"/>
  <c r="AF47" i="12" s="1"/>
  <c r="J84" i="2"/>
  <c r="J93" i="2" s="1"/>
  <c r="N83" i="2"/>
  <c r="P83" i="2" s="1"/>
  <c r="Q83" i="2" s="1"/>
  <c r="N87" i="2"/>
  <c r="C92" i="2"/>
  <c r="I18" i="11"/>
  <c r="B25" i="11"/>
  <c r="X20" i="12"/>
  <c r="AB20" i="12"/>
  <c r="AD20" i="12"/>
  <c r="AF20" i="12" s="1"/>
  <c r="E67" i="2"/>
  <c r="E75" i="2" s="1"/>
  <c r="I20" i="11"/>
  <c r="E36" i="2"/>
  <c r="E47" i="2"/>
  <c r="B35" i="2"/>
  <c r="X19" i="12"/>
  <c r="AB19" i="12"/>
  <c r="AD19" i="12"/>
  <c r="AF19" i="12" s="1"/>
  <c r="C20" i="15" l="1"/>
  <c r="C21" i="15" s="1"/>
  <c r="C7" i="16" s="1"/>
  <c r="I25" i="12"/>
  <c r="AD82" i="12"/>
  <c r="AF82" i="12" s="1"/>
  <c r="C27" i="11"/>
  <c r="C107" i="11" s="1"/>
  <c r="C111" i="11" s="1"/>
  <c r="E51" i="16"/>
  <c r="E53" i="16" s="1"/>
  <c r="G47" i="2"/>
  <c r="D47" i="2"/>
  <c r="G75" i="2"/>
  <c r="X107" i="12"/>
  <c r="AB73" i="12"/>
  <c r="J75" i="2"/>
  <c r="J79" i="2" s="1"/>
  <c r="D75" i="2"/>
  <c r="D274" i="2" s="1"/>
  <c r="AD45" i="12"/>
  <c r="AF45" i="12" s="1"/>
  <c r="I35" i="16"/>
  <c r="C75" i="2"/>
  <c r="C79" i="2" s="1"/>
  <c r="E63" i="16"/>
  <c r="E67" i="16" s="1"/>
  <c r="AB45" i="12"/>
  <c r="X101" i="12"/>
  <c r="J47" i="2"/>
  <c r="U33" i="12"/>
  <c r="X44" i="12"/>
  <c r="AD44" i="12"/>
  <c r="AF44" i="12" s="1"/>
  <c r="N272" i="2"/>
  <c r="AB27" i="12"/>
  <c r="AD27" i="12"/>
  <c r="AF27" i="12" s="1"/>
  <c r="G63" i="16"/>
  <c r="G67" i="16" s="1"/>
  <c r="G35" i="15"/>
  <c r="G37" i="15" s="1"/>
  <c r="G41" i="15" s="1"/>
  <c r="AB106" i="12"/>
  <c r="AD54" i="12"/>
  <c r="AF54" i="12" s="1"/>
  <c r="AB54" i="12"/>
  <c r="J82" i="10"/>
  <c r="J85" i="10" s="1"/>
  <c r="J63" i="6"/>
  <c r="C53" i="16"/>
  <c r="I24" i="16"/>
  <c r="AD29" i="12"/>
  <c r="AF29" i="12" s="1"/>
  <c r="I105" i="11"/>
  <c r="I114" i="12"/>
  <c r="J114" i="12" s="1"/>
  <c r="U96" i="12"/>
  <c r="U98" i="12"/>
  <c r="U49" i="12"/>
  <c r="F51" i="16"/>
  <c r="AB29" i="12"/>
  <c r="C35" i="12"/>
  <c r="C116" i="12" s="1"/>
  <c r="C120" i="12" s="1"/>
  <c r="I32" i="12"/>
  <c r="AB32" i="12" s="1"/>
  <c r="I26" i="12"/>
  <c r="AD26" i="12" s="1"/>
  <c r="AF26" i="12" s="1"/>
  <c r="I52" i="12"/>
  <c r="X52" i="12" s="1"/>
  <c r="C274" i="2"/>
  <c r="C36" i="2"/>
  <c r="AD30" i="12"/>
  <c r="AF30" i="12" s="1"/>
  <c r="X30" i="12"/>
  <c r="J274" i="2"/>
  <c r="AB31" i="12"/>
  <c r="X31" i="12"/>
  <c r="X60" i="12"/>
  <c r="AD60" i="12"/>
  <c r="AF60" i="12" s="1"/>
  <c r="J68" i="5"/>
  <c r="J75" i="5" s="1"/>
  <c r="J78" i="5" s="1"/>
  <c r="I24" i="11"/>
  <c r="D22" i="16"/>
  <c r="D66" i="11"/>
  <c r="I44" i="11"/>
  <c r="I25" i="11"/>
  <c r="I33" i="12"/>
  <c r="J30" i="12" s="1"/>
  <c r="B24" i="15"/>
  <c r="B25" i="15" s="1"/>
  <c r="I25" i="15" s="1"/>
  <c r="P191" i="2"/>
  <c r="Q191" i="2" s="1"/>
  <c r="I79" i="2"/>
  <c r="I274" i="2"/>
  <c r="K75" i="2"/>
  <c r="K47" i="2"/>
  <c r="K36" i="2"/>
  <c r="L75" i="2"/>
  <c r="L274" i="2" s="1"/>
  <c r="L36" i="2"/>
  <c r="L47" i="2"/>
  <c r="I36" i="2"/>
  <c r="I47" i="2"/>
  <c r="F74" i="12"/>
  <c r="F31" i="15" s="1"/>
  <c r="F33" i="15" s="1"/>
  <c r="F35" i="12"/>
  <c r="I50" i="11"/>
  <c r="F36" i="16"/>
  <c r="I29" i="16"/>
  <c r="I59" i="16"/>
  <c r="F61" i="16"/>
  <c r="E274" i="2"/>
  <c r="E79" i="2"/>
  <c r="L37" i="15"/>
  <c r="L41" i="15" s="1"/>
  <c r="S27" i="15"/>
  <c r="Y27" i="15" s="1"/>
  <c r="X86" i="12"/>
  <c r="AB86" i="12"/>
  <c r="C9" i="16"/>
  <c r="C27" i="15"/>
  <c r="C37" i="15" s="1"/>
  <c r="C41" i="15" s="1"/>
  <c r="B30" i="15"/>
  <c r="B98" i="12"/>
  <c r="AB16" i="12"/>
  <c r="X16" i="12"/>
  <c r="AD16" i="12"/>
  <c r="AF16" i="12" s="1"/>
  <c r="Z35" i="12"/>
  <c r="I14" i="11"/>
  <c r="D15" i="11"/>
  <c r="D27" i="11" s="1"/>
  <c r="U69" i="12"/>
  <c r="U65" i="12"/>
  <c r="U63" i="12"/>
  <c r="U66" i="12"/>
  <c r="U58" i="12"/>
  <c r="U67" i="12"/>
  <c r="U70" i="12"/>
  <c r="U72" i="12"/>
  <c r="U60" i="12"/>
  <c r="U73" i="12"/>
  <c r="U68" i="12"/>
  <c r="U53" i="12"/>
  <c r="U52" i="12"/>
  <c r="U57" i="12"/>
  <c r="U54" i="12"/>
  <c r="U56" i="12"/>
  <c r="Z74" i="12"/>
  <c r="U61" i="12"/>
  <c r="U64" i="12"/>
  <c r="U71" i="12"/>
  <c r="U55" i="12"/>
  <c r="U62" i="12"/>
  <c r="AD28" i="12"/>
  <c r="AF28" i="12" s="1"/>
  <c r="X28" i="12"/>
  <c r="AB28" i="12"/>
  <c r="F27" i="15"/>
  <c r="F7" i="16"/>
  <c r="F11" i="16" s="1"/>
  <c r="B89" i="11"/>
  <c r="B61" i="16"/>
  <c r="I57" i="16"/>
  <c r="U59" i="12"/>
  <c r="C93" i="2"/>
  <c r="B35" i="15"/>
  <c r="U23" i="12"/>
  <c r="Z114" i="12"/>
  <c r="U114" i="12"/>
  <c r="M36" i="2"/>
  <c r="M75" i="2"/>
  <c r="M47" i="2"/>
  <c r="G79" i="2"/>
  <c r="G274" i="2"/>
  <c r="I23" i="16"/>
  <c r="B36" i="16"/>
  <c r="I43" i="16"/>
  <c r="D49" i="12"/>
  <c r="I49" i="12" s="1"/>
  <c r="D21" i="19" s="1"/>
  <c r="I46" i="12"/>
  <c r="B51" i="16"/>
  <c r="I39" i="16"/>
  <c r="F79" i="2"/>
  <c r="F274" i="2"/>
  <c r="C61" i="16"/>
  <c r="I58" i="16"/>
  <c r="D23" i="12"/>
  <c r="I23" i="12" s="1"/>
  <c r="I22" i="12"/>
  <c r="S31" i="15"/>
  <c r="Y31" i="15" s="1"/>
  <c r="P33" i="15"/>
  <c r="P37" i="15" s="1"/>
  <c r="P41" i="15" s="1"/>
  <c r="I38" i="11"/>
  <c r="D41" i="11"/>
  <c r="D18" i="16"/>
  <c r="D19" i="16" s="1"/>
  <c r="N66" i="2"/>
  <c r="P66" i="2" s="1"/>
  <c r="Q66" i="2" s="1"/>
  <c r="B32" i="15"/>
  <c r="I96" i="12"/>
  <c r="J86" i="12" s="1"/>
  <c r="B31" i="15"/>
  <c r="X104" i="12"/>
  <c r="AB104" i="12"/>
  <c r="P56" i="2"/>
  <c r="Q56" i="2" s="1"/>
  <c r="B27" i="11"/>
  <c r="AB69" i="12"/>
  <c r="X69" i="12"/>
  <c r="AD69" i="12"/>
  <c r="AF69" i="12" s="1"/>
  <c r="P11" i="2"/>
  <c r="Q11" i="2" s="1"/>
  <c r="N35" i="2"/>
  <c r="H31" i="15"/>
  <c r="H33" i="15" s="1"/>
  <c r="H37" i="15" s="1"/>
  <c r="H41" i="15" s="1"/>
  <c r="H116" i="12"/>
  <c r="H120" i="12" s="1"/>
  <c r="N84" i="2"/>
  <c r="P82" i="2"/>
  <c r="Q82" i="2" s="1"/>
  <c r="AD58" i="12"/>
  <c r="AF58" i="12" s="1"/>
  <c r="AB58" i="12"/>
  <c r="X58" i="12"/>
  <c r="B47" i="2"/>
  <c r="B36" i="2"/>
  <c r="B75" i="2"/>
  <c r="N92" i="2"/>
  <c r="P92" i="2" s="1"/>
  <c r="Q92" i="2" s="1"/>
  <c r="P87" i="2"/>
  <c r="Q87" i="2" s="1"/>
  <c r="Y30" i="15"/>
  <c r="I87" i="11"/>
  <c r="T116" i="12"/>
  <c r="T121" i="12" s="1"/>
  <c r="X83" i="12"/>
  <c r="AD83" i="12"/>
  <c r="AF83" i="12" s="1"/>
  <c r="AB83" i="12"/>
  <c r="B19" i="16"/>
  <c r="I16" i="16"/>
  <c r="X67" i="12"/>
  <c r="AB67" i="12"/>
  <c r="AD67" i="12"/>
  <c r="AF67" i="12" s="1"/>
  <c r="AD40" i="12"/>
  <c r="AF40" i="12" s="1"/>
  <c r="X40" i="12"/>
  <c r="AB40" i="12"/>
  <c r="B35" i="12"/>
  <c r="AD53" i="12"/>
  <c r="AF53" i="12" s="1"/>
  <c r="AB53" i="12"/>
  <c r="X53" i="12"/>
  <c r="F66" i="11"/>
  <c r="F89" i="11" s="1"/>
  <c r="F107" i="11" s="1"/>
  <c r="F111" i="11" s="1"/>
  <c r="H36" i="16"/>
  <c r="H53" i="16" s="1"/>
  <c r="H63" i="16" s="1"/>
  <c r="H67" i="16" s="1"/>
  <c r="I31" i="16"/>
  <c r="AB77" i="12"/>
  <c r="X77" i="12"/>
  <c r="AD77" i="12"/>
  <c r="AF77" i="12" s="1"/>
  <c r="P272" i="2" l="1"/>
  <c r="Q272" i="2" s="1"/>
  <c r="F32" i="19"/>
  <c r="H21" i="19"/>
  <c r="G21" i="19"/>
  <c r="C11" i="16"/>
  <c r="D79" i="2"/>
  <c r="I35" i="15"/>
  <c r="W35" i="15" s="1"/>
  <c r="F53" i="16"/>
  <c r="F63" i="16" s="1"/>
  <c r="F67" i="16" s="1"/>
  <c r="I51" i="16"/>
  <c r="AB52" i="12"/>
  <c r="AD52" i="12"/>
  <c r="AF52" i="12" s="1"/>
  <c r="F98" i="12"/>
  <c r="F116" i="12" s="1"/>
  <c r="F120" i="12" s="1"/>
  <c r="J27" i="12"/>
  <c r="AD32" i="12"/>
  <c r="AF32" i="12" s="1"/>
  <c r="B116" i="12"/>
  <c r="I15" i="11"/>
  <c r="B9" i="16"/>
  <c r="I9" i="16" s="1"/>
  <c r="AB26" i="12"/>
  <c r="AB33" i="12" s="1"/>
  <c r="X26" i="12"/>
  <c r="X32" i="12"/>
  <c r="I22" i="16"/>
  <c r="D36" i="16"/>
  <c r="D53" i="16" s="1"/>
  <c r="D89" i="11"/>
  <c r="I89" i="11" s="1"/>
  <c r="I24" i="15"/>
  <c r="AC24" i="15" s="1"/>
  <c r="AE24" i="15" s="1"/>
  <c r="J29" i="12"/>
  <c r="J28" i="12"/>
  <c r="X33" i="12"/>
  <c r="J32" i="12"/>
  <c r="J31" i="12"/>
  <c r="J26" i="12"/>
  <c r="AD33" i="12"/>
  <c r="AF33" i="12" s="1"/>
  <c r="K274" i="2"/>
  <c r="K79" i="2"/>
  <c r="N67" i="2"/>
  <c r="P67" i="2" s="1"/>
  <c r="Q67" i="2" s="1"/>
  <c r="I74" i="12"/>
  <c r="J83" i="12"/>
  <c r="I31" i="15"/>
  <c r="AA31" i="15" s="1"/>
  <c r="J77" i="12"/>
  <c r="I66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6" i="12"/>
  <c r="AF46" i="12" s="1"/>
  <c r="J46" i="12"/>
  <c r="X46" i="12"/>
  <c r="AB46" i="12"/>
  <c r="X114" i="12"/>
  <c r="AB114" i="12"/>
  <c r="B33" i="15"/>
  <c r="S37" i="15"/>
  <c r="P35" i="2"/>
  <c r="Q35" i="2" s="1"/>
  <c r="N36" i="2"/>
  <c r="P36" i="2" s="1"/>
  <c r="Q36" i="2" s="1"/>
  <c r="N47" i="2"/>
  <c r="P47" i="2" s="1"/>
  <c r="Q47" i="2" s="1"/>
  <c r="M274" i="2"/>
  <c r="AB49" i="12"/>
  <c r="J43" i="12"/>
  <c r="X49" i="12"/>
  <c r="AD49" i="12"/>
  <c r="AF49" i="12" s="1"/>
  <c r="J42" i="12"/>
  <c r="J44" i="12"/>
  <c r="J48" i="12"/>
  <c r="J41" i="12"/>
  <c r="J45" i="12"/>
  <c r="J47" i="12"/>
  <c r="I27" i="11"/>
  <c r="B107" i="11"/>
  <c r="D20" i="15"/>
  <c r="D21" i="15" s="1"/>
  <c r="D35" i="12"/>
  <c r="I35" i="12" s="1"/>
  <c r="D30" i="15"/>
  <c r="D33" i="15" s="1"/>
  <c r="D98" i="12"/>
  <c r="I61" i="16"/>
  <c r="F37" i="15"/>
  <c r="F41" i="15" s="1"/>
  <c r="B79" i="2"/>
  <c r="B274" i="2"/>
  <c r="N93" i="2"/>
  <c r="P93" i="2" s="1"/>
  <c r="Q93" i="2" s="1"/>
  <c r="P84" i="2"/>
  <c r="Q84" i="2" s="1"/>
  <c r="W25" i="15"/>
  <c r="AC25" i="15"/>
  <c r="AE25" i="15" s="1"/>
  <c r="U74" i="12"/>
  <c r="C63" i="16"/>
  <c r="C67" i="16" s="1"/>
  <c r="J40" i="12"/>
  <c r="I19" i="16"/>
  <c r="B53" i="16"/>
  <c r="B21" i="15"/>
  <c r="Z116" i="12"/>
  <c r="T120" i="12"/>
  <c r="S33" i="15"/>
  <c r="Y33" i="15" s="1"/>
  <c r="I18" i="16"/>
  <c r="J85" i="12"/>
  <c r="J78" i="12"/>
  <c r="J91" i="12"/>
  <c r="J84" i="12"/>
  <c r="AD96" i="12"/>
  <c r="AF96" i="12" s="1"/>
  <c r="I32" i="15"/>
  <c r="X96" i="12"/>
  <c r="J89" i="12"/>
  <c r="J94" i="12"/>
  <c r="J79" i="12"/>
  <c r="J87" i="12"/>
  <c r="AB96" i="12"/>
  <c r="J88" i="12"/>
  <c r="J80" i="12"/>
  <c r="J95" i="12"/>
  <c r="J92" i="12"/>
  <c r="J93" i="12"/>
  <c r="J90" i="12"/>
  <c r="J81" i="12"/>
  <c r="J82" i="12"/>
  <c r="I41" i="11"/>
  <c r="J16" i="12"/>
  <c r="J69" i="12" l="1"/>
  <c r="D22" i="19"/>
  <c r="F39" i="19"/>
  <c r="H39" i="19" s="1"/>
  <c r="H32" i="19"/>
  <c r="AA35" i="15"/>
  <c r="AC35" i="15"/>
  <c r="AE35" i="15" s="1"/>
  <c r="I98" i="12"/>
  <c r="AB98" i="12" s="1"/>
  <c r="W24" i="15"/>
  <c r="D107" i="11"/>
  <c r="D111" i="11" s="1"/>
  <c r="J58" i="12"/>
  <c r="I36" i="16"/>
  <c r="I20" i="15"/>
  <c r="AC20" i="15" s="1"/>
  <c r="AE20" i="15" s="1"/>
  <c r="I53" i="16"/>
  <c r="AA24" i="15"/>
  <c r="AA25" i="15" s="1"/>
  <c r="J33" i="12"/>
  <c r="AC31" i="15"/>
  <c r="AE31" i="15" s="1"/>
  <c r="J63" i="12"/>
  <c r="J60" i="12"/>
  <c r="J56" i="12"/>
  <c r="W31" i="15"/>
  <c r="N75" i="2"/>
  <c r="J61" i="12"/>
  <c r="J57" i="12"/>
  <c r="J54" i="12"/>
  <c r="J73" i="12"/>
  <c r="J72" i="12"/>
  <c r="J68" i="12"/>
  <c r="J65" i="12"/>
  <c r="J70" i="12"/>
  <c r="J55" i="12"/>
  <c r="J52" i="12"/>
  <c r="AD74" i="12"/>
  <c r="AF74" i="12" s="1"/>
  <c r="J62" i="12"/>
  <c r="J66" i="12"/>
  <c r="J67" i="12"/>
  <c r="J64" i="12"/>
  <c r="X74" i="12"/>
  <c r="AB74" i="12"/>
  <c r="J71" i="12"/>
  <c r="J59" i="12"/>
  <c r="J53" i="12"/>
  <c r="J23" i="12"/>
  <c r="J96" i="12"/>
  <c r="I21" i="15"/>
  <c r="B7" i="16"/>
  <c r="B27" i="15"/>
  <c r="J49" i="12"/>
  <c r="D116" i="12"/>
  <c r="D120" i="12" s="1"/>
  <c r="S41" i="15"/>
  <c r="Y37" i="15"/>
  <c r="Y41" i="15" s="1"/>
  <c r="I30" i="15"/>
  <c r="B120" i="12"/>
  <c r="D7" i="16"/>
  <c r="D11" i="16" s="1"/>
  <c r="D63" i="16" s="1"/>
  <c r="D67" i="16" s="1"/>
  <c r="D27" i="15"/>
  <c r="D37" i="15" s="1"/>
  <c r="D41" i="15" s="1"/>
  <c r="W32" i="15"/>
  <c r="AC32" i="15"/>
  <c r="AE32" i="15" s="1"/>
  <c r="AA32" i="15"/>
  <c r="X35" i="12"/>
  <c r="AB35" i="12"/>
  <c r="AD35" i="12"/>
  <c r="AF35" i="12" s="1"/>
  <c r="B111" i="11"/>
  <c r="G22" i="19" l="1"/>
  <c r="H22" i="19"/>
  <c r="J98" i="12"/>
  <c r="AD98" i="12"/>
  <c r="X98" i="12"/>
  <c r="I107" i="11"/>
  <c r="I111" i="11" s="1"/>
  <c r="W20" i="15"/>
  <c r="AA20" i="15"/>
  <c r="I116" i="12"/>
  <c r="P78" i="2"/>
  <c r="Q78" i="2" s="1"/>
  <c r="N274" i="2"/>
  <c r="P274" i="2" s="1"/>
  <c r="Q274" i="2" s="1"/>
  <c r="J74" i="12"/>
  <c r="P75" i="2"/>
  <c r="Q75" i="2" s="1"/>
  <c r="B37" i="15"/>
  <c r="B41" i="15" s="1"/>
  <c r="I27" i="15"/>
  <c r="D20" i="19" s="1"/>
  <c r="I7" i="16"/>
  <c r="B11" i="16"/>
  <c r="AA30" i="15"/>
  <c r="W30" i="15"/>
  <c r="AC30" i="15"/>
  <c r="AE30" i="15" s="1"/>
  <c r="I33" i="15"/>
  <c r="AC21" i="15"/>
  <c r="AE21" i="15" s="1"/>
  <c r="AA21" i="15"/>
  <c r="W21" i="15"/>
  <c r="G20" i="19" l="1"/>
  <c r="H20" i="19"/>
  <c r="D25" i="19"/>
  <c r="I120" i="12"/>
  <c r="I121" i="12"/>
  <c r="X116" i="12"/>
  <c r="AB116" i="12"/>
  <c r="W33" i="15"/>
  <c r="AC33" i="15"/>
  <c r="AE33" i="15" s="1"/>
  <c r="AA33" i="15"/>
  <c r="I11" i="16"/>
  <c r="B63" i="16"/>
  <c r="AA27" i="15"/>
  <c r="AC27" i="15"/>
  <c r="AE27" i="15" s="1"/>
  <c r="I37" i="15"/>
  <c r="W27" i="15"/>
  <c r="H25" i="19" l="1"/>
  <c r="G25" i="19"/>
  <c r="W37" i="15"/>
  <c r="W41" i="15" s="1"/>
  <c r="AC37" i="15"/>
  <c r="AE37" i="15" s="1"/>
  <c r="AA37" i="15"/>
  <c r="AA41" i="15" s="1"/>
  <c r="I41" i="15"/>
  <c r="B67" i="16"/>
  <c r="I63" i="16"/>
  <c r="I6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11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12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34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<sst xmlns="http://schemas.openxmlformats.org/spreadsheetml/2006/main" count="1150" uniqueCount="509">
  <si>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</si>
  <si>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</si>
  <si>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</si>
  <si>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</si>
  <si>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</si>
  <si>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</si>
  <si>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</si>
  <si>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</si>
  <si>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</si>
  <si>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</si>
  <si>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</si>
  <si>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</si>
  <si>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</si>
  <si>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</si>
  <si>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</si>
  <si>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</si>
  <si>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</si>
  <si>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</si>
  <si>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</si>
  <si>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</si>
  <si>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</si>
  <si>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</si>
  <si>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</si>
  <si>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</si>
  <si>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</si>
  <si>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</si>
  <si>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</si>
  <si>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</si>
  <si>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</si>
  <si>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</si>
  <si>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</si>
  <si>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</si>
  <si>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</si>
  <si>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</si>
  <si>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</si>
  <si>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</si>
  <si>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</si>
  <si>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</si>
  <si>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</si>
  <si>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</si>
  <si>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</si>
  <si>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</si>
  <si>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</si>
  <si>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</si>
  <si>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</si>
  <si>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</si>
  <si>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</si>
  <si>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</si>
  <si>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</si>
  <si>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</si>
  <si>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</si>
  <si>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</si>
  <si>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</si>
  <si>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</si>
  <si>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</si>
  <si>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</si>
  <si>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</si>
  <si>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</si>
  <si>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</si>
  <si>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</si>
  <si>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</si>
  <si>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</si>
  <si>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</si>
  <si>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</si>
  <si>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</si>
  <si>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</si>
  <si>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</si>
  <si>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</si>
  <si>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</si>
  <si>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</si>
  <si>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</si>
  <si>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</si>
  <si>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</si>
  <si>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</si>
  <si>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</si>
  <si>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</si>
  <si>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</si>
  <si>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</si>
  <si>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</si>
  <si>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</si>
  <si>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</si>
  <si>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</si>
  <si>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</si>
  <si>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</si>
  <si>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</si>
  <si>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</si>
  <si>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</si>
  <si>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</si>
  <si>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</si>
  <si>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</si>
  <si>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</si>
  <si>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</si>
  <si>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</si>
  <si>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</si>
  <si>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</si>
  <si>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</si>
  <si>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</si>
  <si>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</si>
  <si>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</si>
  <si>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</si>
  <si>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</si>
  <si>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</si>
  <si>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</si>
  <si>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</si>
  <si>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</si>
  <si>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</si>
  <si>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</si>
  <si>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</si>
  <si>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</si>
  <si>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</si>
  <si>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</si>
  <si>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</si>
  <si>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</si>
  <si>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</si>
  <si>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</si>
  <si>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</si>
  <si>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</si>
  <si>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</si>
  <si>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</si>
  <si>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</si>
  <si>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</si>
  <si>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</si>
  <si>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</si>
  <si>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</si>
  <si>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</si>
  <si>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</si>
  <si>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</si>
  <si>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</si>
  <si>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</si>
  <si>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</si>
  <si>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</si>
  <si>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</si>
  <si>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</si>
  <si>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</si>
  <si>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</si>
  <si>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</si>
  <si>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</si>
  <si>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</si>
  <si>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</si>
  <si>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</si>
  <si>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</si>
  <si>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</si>
  <si>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</si>
  <si>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</si>
  <si>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</si>
  <si>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</si>
  <si>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</si>
  <si>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</si>
  <si>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</si>
  <si>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</si>
  <si>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</si>
  <si>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</si>
  <si>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</si>
  <si>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</si>
  <si>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</si>
  <si>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</si>
  <si>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</si>
  <si>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</si>
  <si>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</si>
  <si>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</si>
  <si>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</si>
  <si>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</si>
  <si>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</si>
  <si>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 SPACE - ROOF SOLAR PANELS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</si>
  <si>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</si>
  <si>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</si>
  <si>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</si>
  <si>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</si>
  <si>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</si>
  <si>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</si>
  <si>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</si>
  <si>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</si>
  <si>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</si>
  <si>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</si>
  <si>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</si>
  <si>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</si>
  <si>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</si>
  <si>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</si>
  <si>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</si>
  <si>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</si>
  <si>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</si>
  <si>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</si>
  <si>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</si>
  <si>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</si>
  <si>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</si>
  <si>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</si>
  <si>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</si>
  <si>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</si>
  <si>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</si>
  <si>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</si>
  <si>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</si>
  <si>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</si>
  <si>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</si>
  <si>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</si>
  <si>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</si>
  <si>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</si>
  <si>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</si>
  <si>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</si>
  <si>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</si>
  <si>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</si>
  <si>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</si>
  <si>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</si>
  <si>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</si>
  <si>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</si>
  <si>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</si>
  <si>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</si>
  <si>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</si>
  <si>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</si>
  <si>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</si>
  <si>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</si>
  <si>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</si>
  <si>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</si>
  <si>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</si>
  <si>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</si>
  <si>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</si>
  <si>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</si>
  <si>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</si>
  <si>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</si>
  <si>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</si>
  <si>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</si>
  <si>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</si>
  <si>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</si>
  <si>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</si>
  <si>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</si>
  <si>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</si>
  <si>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</si>
  <si>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</si>
  <si>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</si>
  <si>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</si>
  <si>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</si>
  <si>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</si>
  <si>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</si>
  <si>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</si>
  <si>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</si>
  <si>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</si>
  <si>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</si>
  <si>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</si>
  <si>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</si>
  <si>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</si>
  <si>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</si>
  <si>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</si>
  <si>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</si>
  <si>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</si>
  <si>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</si>
  <si>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</si>
  <si>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</si>
  <si>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</si>
  <si>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</si>
  <si>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</si>
  <si>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</si>
  <si>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</si>
  <si>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</si>
  <si>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</si>
  <si>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</si>
  <si>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</si>
  <si>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</si>
  <si>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</si>
  <si>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</si>
  <si>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</si>
  <si>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</si>
  <si>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</si>
  <si>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</si>
  <si>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</si>
  <si>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</si>
  <si>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</si>
  <si>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</si>
  <si>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</si>
  <si>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</si>
  <si>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</si>
  <si>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</si>
  <si>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</si>
  <si>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</si>
  <si>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</si>
  <si>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</si>
  <si>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</si>
  <si>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Total Other Income &amp; Expense</t>
  </si>
  <si>
    <t>Other Income &amp; Expense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</si>
  <si>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</si>
  <si>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</si>
  <si>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</si>
  <si>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</si>
  <si>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</si>
  <si>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</si>
  <si>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</si>
  <si>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</si>
  <si>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</si>
  <si>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</si>
  <si>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</si>
  <si>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</si>
  <si>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</si>
  <si>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</si>
  <si>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</si>
  <si>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</si>
  <si>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</si>
  <si>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</si>
  <si>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</si>
  <si>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</si>
  <si>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</si>
  <si>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</si>
  <si>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</si>
  <si>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</si>
  <si>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</si>
  <si>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</si>
  <si>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</si>
  <si>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</si>
  <si>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</si>
  <si>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</si>
  <si>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</si>
  <si>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</si>
  <si>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</si>
  <si>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</si>
  <si>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</si>
  <si>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</si>
  <si>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</si>
  <si>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</si>
  <si>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</si>
  <si>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</si>
  <si>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</si>
  <si>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</si>
  <si>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</si>
  <si>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</si>
  <si>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</si>
  <si>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</si>
  <si>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</si>
  <si>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</si>
  <si>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</si>
  <si>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</si>
  <si>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</si>
  <si>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</si>
  <si>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</si>
  <si>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</si>
  <si>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</si>
  <si>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</si>
  <si>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</si>
  <si>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</si>
  <si>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</si>
  <si>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</si>
  <si>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</si>
  <si>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</si>
  <si>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</si>
  <si>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</si>
  <si>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</si>
  <si>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</si>
  <si>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</si>
  <si>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</si>
  <si>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</si>
  <si>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</si>
  <si>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</si>
  <si>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</si>
  <si>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</si>
  <si>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</si>
  <si>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</si>
  <si>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</si>
  <si>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</si>
  <si>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</si>
  <si>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</si>
  <si>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</si>
  <si>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</si>
  <si>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</si>
  <si>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</si>
  <si>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</si>
  <si>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</si>
  <si>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</si>
  <si>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</si>
  <si>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</si>
  <si>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</si>
  <si>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</si>
  <si>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</si>
  <si>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</si>
  <si>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</si>
  <si>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</si>
  <si>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</si>
  <si>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</si>
  <si>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</si>
  <si>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</si>
  <si>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</si>
  <si>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</si>
  <si>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</si>
  <si>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</si>
  <si>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</si>
  <si>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</si>
  <si>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</si>
  <si>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</si>
  <si>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</si>
  <si>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</si>
  <si>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</si>
  <si>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</si>
  <si>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</si>
  <si>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</si>
  <si>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</si>
  <si>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</si>
  <si>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</si>
  <si>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</si>
  <si>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</si>
  <si>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</si>
  <si>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</si>
  <si>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</si>
  <si>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</si>
  <si>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</si>
  <si>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</si>
  <si>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</si>
  <si>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</si>
  <si>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</si>
  <si>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</si>
  <si>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</si>
  <si>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</si>
  <si>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</si>
  <si>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</si>
  <si>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</si>
  <si>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</si>
  <si>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</si>
  <si>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</si>
  <si>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</si>
  <si>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</si>
  <si>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</si>
  <si>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</si>
  <si>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</si>
  <si>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</si>
  <si>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Employee Benefit 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</si>
  <si>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</si>
  <si>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</si>
  <si>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</si>
  <si>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</si>
  <si>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</si>
  <si>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</si>
  <si>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</si>
  <si>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</si>
  <si>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</si>
  <si>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>Accounting</t>
  </si>
  <si>
    <t>fees</t>
  </si>
  <si>
    <t>Appraisal fee</t>
  </si>
  <si>
    <t>from Bank RI</t>
  </si>
  <si>
    <t>includes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</si>
  <si>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</si>
  <si>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</si>
  <si>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</si>
  <si>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</si>
  <si>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</si>
  <si>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</si>
  <si>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</si>
  <si>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</si>
  <si>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</si>
  <si>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</si>
  <si>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</si>
  <si>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</si>
  <si>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</si>
  <si>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</si>
  <si>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</si>
  <si>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</si>
  <si>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</si>
  <si>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</si>
  <si>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</si>
  <si>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</si>
  <si>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</si>
  <si>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</si>
  <si>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 xml:space="preserve">      Rental Income - other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</si>
  <si>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</si>
  <si>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</si>
  <si>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</si>
  <si>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</si>
  <si>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</si>
  <si>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</si>
  <si>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</si>
  <si>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08/31/2018 to 08/31/2017</t>
  </si>
  <si>
    <t>08/31/2018 to 8/31/2017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</si>
  <si>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</si>
  <si>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</si>
  <si>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</si>
  <si>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</si>
  <si>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</si>
  <si>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</si>
  <si>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</si>
  <si>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</si>
  <si>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</si>
  <si>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>Summary of Financial Performance</t>
  </si>
  <si>
    <t xml:space="preserve">  Operating Summary</t>
  </si>
  <si>
    <t>Actual</t>
  </si>
  <si>
    <t>Variance</t>
  </si>
  <si>
    <t>A vs. B</t>
  </si>
  <si>
    <t>Variance %</t>
  </si>
  <si>
    <t xml:space="preserve">  Other Income / Expense</t>
  </si>
  <si>
    <t xml:space="preserve">  Net Income (Loss)</t>
  </si>
  <si>
    <t>YTD</t>
  </si>
  <si>
    <t>August 2018</t>
  </si>
  <si>
    <t xml:space="preserve">  Gross Profit</t>
  </si>
  <si>
    <t xml:space="preserve">  Personnel Expense</t>
  </si>
  <si>
    <t xml:space="preserve">  Facility Expense</t>
  </si>
  <si>
    <t xml:space="preserve">  Other Expense</t>
  </si>
  <si>
    <t>2018/2017</t>
  </si>
  <si>
    <t>722 Bedford Street</t>
  </si>
  <si>
    <t>Bridgewater Sports Complex</t>
  </si>
  <si>
    <t>Net Income (Loss) By Company</t>
  </si>
  <si>
    <t>Total Net Income</t>
  </si>
  <si>
    <t>Company</t>
  </si>
  <si>
    <t>January</t>
  </si>
  <si>
    <t>February</t>
  </si>
  <si>
    <t>March</t>
  </si>
  <si>
    <t>April</t>
  </si>
  <si>
    <t xml:space="preserve">August </t>
  </si>
  <si>
    <t>September</t>
  </si>
  <si>
    <t>October</t>
  </si>
  <si>
    <t>November</t>
  </si>
  <si>
    <t>December</t>
  </si>
  <si>
    <t xml:space="preserve"> 2018 Total Net Income</t>
  </si>
  <si>
    <t>2017 Total Net Income</t>
  </si>
  <si>
    <t>MTD</t>
  </si>
  <si>
    <t>2018 vs 2017</t>
  </si>
  <si>
    <t>YTD Variance</t>
  </si>
  <si>
    <t xml:space="preserve">      Professional 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</si>
</sst>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4"/>
      <color indexed="18"/>
      <name val="Verdana"/>
      <family val="2"/>
    </font>
    <font>
      <b/>
      <sz val="9"/>
      <color indexed="18"/>
      <name val="Verdana"/>
      <family val="2"/>
    </font>
    <font>
      <b/>
      <i/>
      <sz val="9"/>
      <color indexed="18"/>
      <name val="Verdana"/>
      <family val="2"/>
    </font>
    <font>
      <b/>
      <i/>
      <u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8" fillId="0" borderId="0"/>
  </cellStyleXfs>
  <cellXfs count="270">
    <xf numFmtId="0" fontId="0" fillId="0" borderId="0" xfId="0"/>
    <xf numFmtId="17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3" fillId="0" borderId="0" xfId="2" applyNumberFormat="1" applyFont="1" applyFill="1"/>
    <xf numFmtId="44" fontId="4" fillId="0" borderId="0" xfId="2" applyNumberFormat="1" applyFont="1" applyFill="1"/>
    <xf numFmtId="44" fontId="3" fillId="0" borderId="0" xfId="2" applyFont="1" applyFill="1"/>
    <xf numFmtId="10" fontId="1" fillId="0" borderId="0" xfId="3" applyNumberFormat="1" applyFont="1" applyFill="1" applyBorder="1"/>
    <xf numFmtId="0" fontId="0" fillId="0" borderId="0" xfId="0" applyFont="1" applyFill="1" applyBorder="1"/>
    <xf numFmtId="8" fontId="1" fillId="0" borderId="0" xfId="2" applyNumberFormat="1" applyFont="1" applyFill="1" applyBorder="1"/>
    <xf numFmtId="44" fontId="0" fillId="0" borderId="0" xfId="0" applyNumberFormat="1" applyFont="1" applyFill="1" applyBorder="1"/>
    <xf numFmtId="44" fontId="1" fillId="0" borderId="0" xfId="2" applyNumberFormat="1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7" xfId="2" applyFont="1" applyFill="1" applyBorder="1"/>
    <xf numFmtId="0" fontId="0" fillId="0" borderId="8" xfId="0" applyFont="1" applyFill="1" applyBorder="1"/>
    <xf numFmtId="44" fontId="0" fillId="0" borderId="9" xfId="0" applyNumberFormat="1" applyFont="1" applyFill="1" applyBorder="1"/>
    <xf numFmtId="44" fontId="1" fillId="0" borderId="10" xfId="2" applyFont="1" applyFill="1" applyBorder="1"/>
    <xf numFmtId="0" fontId="0" fillId="0" borderId="9" xfId="0" applyFont="1" applyFill="1" applyBorder="1"/>
    <xf numFmtId="44" fontId="1" fillId="0" borderId="3" xfId="2" applyFont="1" applyFill="1" applyBorder="1"/>
    <xf numFmtId="44" fontId="1" fillId="0" borderId="11" xfId="2" applyFont="1" applyFill="1" applyBorder="1"/>
    <xf numFmtId="44" fontId="1" fillId="0" borderId="12" xfId="2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2" fillId="0" borderId="0" xfId="0" applyFont="1" applyFill="1"/>
    <xf numFmtId="44" fontId="2" fillId="0" borderId="3" xfId="2" applyFont="1" applyFill="1" applyBorder="1"/>
    <xf numFmtId="44" fontId="2" fillId="0" borderId="5" xfId="2" applyFont="1" applyFill="1" applyBorder="1"/>
    <xf numFmtId="44" fontId="2" fillId="0" borderId="3" xfId="0" applyNumberFormat="1" applyFont="1" applyFill="1" applyBorder="1"/>
    <xf numFmtId="44" fontId="0" fillId="0" borderId="0" xfId="0" applyNumberFormat="1" applyFont="1" applyFill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8" fillId="0" borderId="0" xfId="0" applyNumberFormat="1" applyFont="1" applyFill="1"/>
    <xf numFmtId="10" fontId="8" fillId="0" borderId="0" xfId="3" applyNumberFormat="1" applyFont="1" applyFill="1" applyAlignment="1">
      <alignment horizontal="center"/>
    </xf>
    <xf numFmtId="10" fontId="8" fillId="0" borderId="0" xfId="3" applyNumberFormat="1" applyFont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Fill="1" applyBorder="1"/>
    <xf numFmtId="10" fontId="8" fillId="0" borderId="0" xfId="3" applyNumberFormat="1" applyFont="1" applyFill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43" fontId="8" fillId="0" borderId="2" xfId="0" applyNumberFormat="1" applyFont="1" applyBorder="1"/>
    <xf numFmtId="9" fontId="8" fillId="0" borderId="0" xfId="3" applyFont="1" applyAlignment="1">
      <alignment horizontal="center"/>
    </xf>
    <xf numFmtId="43" fontId="8" fillId="0" borderId="14" xfId="0" applyNumberFormat="1" applyFont="1" applyFill="1" applyBorder="1"/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Fill="1" applyBorder="1"/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 applyFill="1"/>
    <xf numFmtId="43" fontId="9" fillId="0" borderId="2" xfId="0" applyNumberFormat="1" applyFont="1" applyFill="1" applyBorder="1"/>
    <xf numFmtId="43" fontId="9" fillId="0" borderId="14" xfId="0" applyNumberFormat="1" applyFont="1" applyFill="1" applyBorder="1"/>
    <xf numFmtId="43" fontId="10" fillId="0" borderId="3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8" fillId="0" borderId="0" xfId="0" applyNumberFormat="1" applyFont="1" applyFill="1" applyBorder="1"/>
    <xf numFmtId="43" fontId="7" fillId="0" borderId="0" xfId="0" applyNumberFormat="1" applyFont="1" applyFill="1" applyBorder="1"/>
    <xf numFmtId="0" fontId="8" fillId="0" borderId="0" xfId="0" applyFont="1" applyBorder="1"/>
    <xf numFmtId="43" fontId="8" fillId="0" borderId="0" xfId="0" applyNumberFormat="1" applyFont="1" applyBorder="1"/>
    <xf numFmtId="43" fontId="8" fillId="0" borderId="0" xfId="1" applyFont="1" applyBorder="1"/>
    <xf numFmtId="43" fontId="7" fillId="0" borderId="0" xfId="0" applyNumberFormat="1" applyFont="1" applyBorder="1"/>
    <xf numFmtId="43" fontId="1" fillId="0" borderId="0" xfId="1" applyFont="1" applyBorder="1"/>
    <xf numFmtId="43" fontId="9" fillId="0" borderId="6" xfId="0" applyNumberFormat="1" applyFont="1" applyFill="1" applyBorder="1"/>
    <xf numFmtId="43" fontId="9" fillId="0" borderId="0" xfId="0" applyNumberFormat="1" applyFont="1" applyFill="1" applyBorder="1"/>
    <xf numFmtId="43" fontId="1" fillId="0" borderId="6" xfId="1" applyFont="1" applyBorder="1"/>
    <xf numFmtId="43" fontId="8" fillId="2" borderId="0" xfId="0" applyNumberFormat="1" applyFont="1" applyFill="1"/>
    <xf numFmtId="43" fontId="1" fillId="2" borderId="0" xfId="1" applyFont="1" applyFill="1"/>
    <xf numFmtId="164" fontId="1" fillId="0" borderId="0" xfId="1" applyNumberFormat="1" applyFont="1"/>
    <xf numFmtId="43" fontId="0" fillId="0" borderId="0" xfId="0" applyNumberFormat="1"/>
    <xf numFmtId="0" fontId="12" fillId="0" borderId="0" xfId="0" applyFont="1" applyFill="1" applyAlignment="1"/>
    <xf numFmtId="0" fontId="4" fillId="0" borderId="0" xfId="0" applyFont="1" applyFill="1"/>
    <xf numFmtId="0" fontId="13" fillId="0" borderId="0" xfId="0" applyFont="1" applyFill="1"/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2" xfId="0" applyFont="1" applyFill="1" applyBorder="1"/>
    <xf numFmtId="0" fontId="14" fillId="0" borderId="0" xfId="0" applyFont="1" applyFill="1"/>
    <xf numFmtId="0" fontId="15" fillId="0" borderId="0" xfId="0" applyFont="1"/>
    <xf numFmtId="0" fontId="15" fillId="0" borderId="0" xfId="0" applyFont="1" applyFill="1"/>
    <xf numFmtId="43" fontId="15" fillId="0" borderId="0" xfId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43" fontId="16" fillId="0" borderId="0" xfId="1" applyFont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43" fontId="15" fillId="0" borderId="0" xfId="0" applyNumberFormat="1" applyFont="1" applyFill="1"/>
    <xf numFmtId="10" fontId="15" fillId="0" borderId="0" xfId="3" applyNumberFormat="1" applyFont="1" applyFill="1" applyAlignment="1">
      <alignment horizontal="center"/>
    </xf>
    <xf numFmtId="10" fontId="15" fillId="0" borderId="0" xfId="3" applyNumberFormat="1" applyFont="1" applyAlignment="1">
      <alignment horizontal="center"/>
    </xf>
    <xf numFmtId="43" fontId="15" fillId="0" borderId="0" xfId="0" applyNumberFormat="1" applyFont="1"/>
    <xf numFmtId="43" fontId="15" fillId="0" borderId="0" xfId="1" applyFont="1" applyAlignment="1">
      <alignment horizontal="center"/>
    </xf>
    <xf numFmtId="43" fontId="15" fillId="0" borderId="2" xfId="0" applyNumberFormat="1" applyFont="1" applyFill="1" applyBorder="1"/>
    <xf numFmtId="10" fontId="15" fillId="0" borderId="2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2" xfId="3" applyNumberFormat="1" applyFont="1" applyBorder="1" applyAlignment="1">
      <alignment horizontal="center"/>
    </xf>
    <xf numFmtId="10" fontId="15" fillId="0" borderId="0" xfId="3" applyNumberFormat="1" applyFont="1" applyBorder="1" applyAlignment="1">
      <alignment horizontal="center"/>
    </xf>
    <xf numFmtId="43" fontId="15" fillId="0" borderId="2" xfId="0" applyNumberFormat="1" applyFont="1" applyBorder="1"/>
    <xf numFmtId="9" fontId="15" fillId="0" borderId="0" xfId="3" applyFont="1" applyAlignment="1">
      <alignment horizontal="center"/>
    </xf>
    <xf numFmtId="43" fontId="15" fillId="0" borderId="14" xfId="0" applyNumberFormat="1" applyFont="1" applyFill="1" applyBorder="1"/>
    <xf numFmtId="43" fontId="15" fillId="0" borderId="14" xfId="0" applyNumberFormat="1" applyFont="1" applyBorder="1"/>
    <xf numFmtId="10" fontId="15" fillId="0" borderId="14" xfId="3" applyNumberFormat="1" applyFont="1" applyBorder="1" applyAlignment="1">
      <alignment horizontal="center"/>
    </xf>
    <xf numFmtId="43" fontId="15" fillId="0" borderId="0" xfId="3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9" fontId="15" fillId="0" borderId="2" xfId="3" applyFont="1" applyBorder="1" applyAlignment="1">
      <alignment horizontal="center"/>
    </xf>
    <xf numFmtId="9" fontId="15" fillId="0" borderId="14" xfId="3" applyFont="1" applyBorder="1" applyAlignment="1">
      <alignment horizontal="center"/>
    </xf>
    <xf numFmtId="43" fontId="15" fillId="0" borderId="0" xfId="3" applyNumberFormat="1" applyFont="1" applyFill="1" applyAlignment="1">
      <alignment horizontal="center"/>
    </xf>
    <xf numFmtId="43" fontId="16" fillId="0" borderId="3" xfId="0" applyNumberFormat="1" applyFont="1" applyFill="1" applyBorder="1"/>
    <xf numFmtId="43" fontId="16" fillId="0" borderId="3" xfId="0" applyNumberFormat="1" applyFont="1" applyBorder="1"/>
    <xf numFmtId="43" fontId="16" fillId="0" borderId="5" xfId="0" applyNumberFormat="1" applyFont="1" applyBorder="1"/>
    <xf numFmtId="8" fontId="15" fillId="0" borderId="0" xfId="0" applyNumberFormat="1" applyFont="1" applyFill="1"/>
    <xf numFmtId="0" fontId="1" fillId="0" borderId="0" xfId="0" applyFont="1" applyFill="1"/>
    <xf numFmtId="165" fontId="1" fillId="0" borderId="0" xfId="0" applyNumberFormat="1" applyFont="1" applyFill="1"/>
    <xf numFmtId="44" fontId="1" fillId="0" borderId="0" xfId="0" applyNumberFormat="1" applyFont="1" applyFill="1" applyBorder="1"/>
    <xf numFmtId="0" fontId="1" fillId="0" borderId="0" xfId="0" applyFont="1" applyFill="1" applyBorder="1"/>
    <xf numFmtId="43" fontId="15" fillId="3" borderId="0" xfId="0" applyNumberFormat="1" applyFont="1" applyFill="1"/>
    <xf numFmtId="0" fontId="4" fillId="0" borderId="0" xfId="0" applyFont="1" applyFill="1" applyAlignment="1">
      <alignment vertical="top"/>
    </xf>
    <xf numFmtId="44" fontId="1" fillId="0" borderId="4" xfId="2" applyFont="1" applyFill="1" applyBorder="1"/>
    <xf numFmtId="0" fontId="22" fillId="0" borderId="0" xfId="4" applyFont="1" applyFill="1"/>
    <xf numFmtId="0" fontId="23" fillId="0" borderId="0" xfId="4" applyFont="1" applyFill="1" applyAlignment="1">
      <alignment horizontal="left"/>
    </xf>
    <xf numFmtId="0" fontId="22" fillId="0" borderId="0" xfId="4" applyFont="1" applyFill="1" applyAlignment="1">
      <alignment horizontal="centerContinuous"/>
    </xf>
    <xf numFmtId="0" fontId="22" fillId="0" borderId="0" xfId="4" applyFill="1" applyBorder="1"/>
    <xf numFmtId="0" fontId="22" fillId="0" borderId="0" xfId="4" applyFill="1"/>
    <xf numFmtId="0" fontId="22" fillId="0" borderId="0" xfId="4" applyFont="1" applyFill="1" applyBorder="1"/>
    <xf numFmtId="0" fontId="22" fillId="0" borderId="0" xfId="4" applyFont="1" applyFill="1" applyBorder="1" applyAlignment="1">
      <alignment horizontal="centerContinuous"/>
    </xf>
    <xf numFmtId="0" fontId="24" fillId="0" borderId="0" xfId="4" applyFont="1" applyFill="1" applyBorder="1" applyAlignment="1">
      <alignment horizontal="centerContinuous"/>
    </xf>
    <xf numFmtId="0" fontId="22" fillId="0" borderId="24" xfId="4" applyFont="1" applyFill="1" applyBorder="1"/>
    <xf numFmtId="0" fontId="22" fillId="0" borderId="25" xfId="4" applyFont="1" applyFill="1" applyBorder="1"/>
    <xf numFmtId="0" fontId="22" fillId="0" borderId="26" xfId="4" applyFont="1" applyFill="1" applyBorder="1"/>
    <xf numFmtId="0" fontId="22" fillId="0" borderId="27" xfId="4" applyFont="1" applyFill="1" applyBorder="1"/>
    <xf numFmtId="0" fontId="22" fillId="0" borderId="28" xfId="4" applyFont="1" applyFill="1" applyBorder="1"/>
    <xf numFmtId="0" fontId="26" fillId="0" borderId="28" xfId="4" applyFont="1" applyFill="1" applyBorder="1" applyAlignment="1">
      <alignment horizontal="center"/>
    </xf>
    <xf numFmtId="0" fontId="26" fillId="0" borderId="28" xfId="4" applyFont="1" applyFill="1" applyBorder="1" applyAlignment="1"/>
    <xf numFmtId="17" fontId="22" fillId="0" borderId="0" xfId="4" applyNumberFormat="1" applyFill="1" applyBorder="1"/>
    <xf numFmtId="0" fontId="27" fillId="0" borderId="28" xfId="4" applyFont="1" applyFill="1" applyBorder="1" applyAlignment="1"/>
    <xf numFmtId="37" fontId="22" fillId="0" borderId="0" xfId="4" applyNumberFormat="1" applyFont="1" applyFill="1" applyBorder="1" applyAlignment="1">
      <alignment horizontal="center"/>
    </xf>
    <xf numFmtId="0" fontId="27" fillId="0" borderId="28" xfId="4" applyFont="1" applyFill="1" applyBorder="1" applyAlignment="1">
      <alignment horizontal="center"/>
    </xf>
    <xf numFmtId="0" fontId="22" fillId="0" borderId="0" xfId="4" applyFont="1" applyFill="1" applyBorder="1" applyAlignment="1">
      <alignment horizontal="center"/>
    </xf>
    <xf numFmtId="0" fontId="25" fillId="0" borderId="0" xfId="4" applyFont="1" applyFill="1" applyBorder="1"/>
    <xf numFmtId="166" fontId="22" fillId="0" borderId="0" xfId="6" applyNumberFormat="1" applyFont="1" applyFill="1" applyBorder="1" applyAlignment="1">
      <alignment horizontal="center"/>
    </xf>
    <xf numFmtId="166" fontId="22" fillId="0" borderId="28" xfId="6" applyNumberFormat="1" applyFont="1" applyFill="1" applyBorder="1" applyAlignment="1"/>
    <xf numFmtId="166" fontId="22" fillId="0" borderId="28" xfId="6" applyNumberFormat="1" applyFont="1" applyFill="1" applyBorder="1" applyAlignment="1">
      <alignment horizontal="center"/>
    </xf>
    <xf numFmtId="167" fontId="22" fillId="0" borderId="0" xfId="4" applyNumberFormat="1" applyFont="1" applyFill="1" applyBorder="1" applyAlignment="1">
      <alignment horizontal="center"/>
    </xf>
    <xf numFmtId="0" fontId="28" fillId="0" borderId="0" xfId="4" applyNumberFormat="1" applyFont="1" applyBorder="1" applyAlignment="1"/>
    <xf numFmtId="167" fontId="29" fillId="0" borderId="0" xfId="4" applyNumberFormat="1" applyFont="1" applyFill="1" applyBorder="1" applyAlignment="1">
      <alignment horizontal="center"/>
    </xf>
    <xf numFmtId="0" fontId="22" fillId="0" borderId="29" xfId="4" applyFont="1" applyFill="1" applyBorder="1"/>
    <xf numFmtId="0" fontId="22" fillId="0" borderId="4" xfId="4" applyFont="1" applyFill="1" applyBorder="1"/>
    <xf numFmtId="167" fontId="22" fillId="0" borderId="4" xfId="4" applyNumberFormat="1" applyFont="1" applyFill="1" applyBorder="1"/>
    <xf numFmtId="0" fontId="22" fillId="0" borderId="30" xfId="4" applyFont="1" applyFill="1" applyBorder="1"/>
    <xf numFmtId="0" fontId="22" fillId="0" borderId="31" xfId="4" applyFont="1" applyFill="1" applyBorder="1"/>
    <xf numFmtId="0" fontId="23" fillId="0" borderId="31" xfId="4" applyFont="1" applyFill="1" applyBorder="1"/>
    <xf numFmtId="0" fontId="22" fillId="0" borderId="0" xfId="4" applyFont="1" applyFill="1" applyBorder="1" applyAlignment="1">
      <alignment horizontal="left"/>
    </xf>
    <xf numFmtId="0" fontId="22" fillId="0" borderId="25" xfId="4" applyFont="1" applyFill="1" applyBorder="1" applyAlignment="1">
      <alignment horizontal="center"/>
    </xf>
    <xf numFmtId="0" fontId="22" fillId="0" borderId="26" xfId="4" applyFont="1" applyFill="1" applyBorder="1" applyAlignment="1">
      <alignment horizontal="centerContinuous"/>
    </xf>
    <xf numFmtId="1" fontId="22" fillId="0" borderId="0" xfId="4" applyNumberFormat="1" applyFont="1" applyFill="1" applyBorder="1" applyAlignment="1">
      <alignment horizontal="center"/>
    </xf>
    <xf numFmtId="0" fontId="30" fillId="0" borderId="0" xfId="7" applyFont="1" applyFill="1" applyBorder="1" applyAlignment="1" applyProtection="1">
      <alignment horizontal="left"/>
    </xf>
    <xf numFmtId="1" fontId="22" fillId="0" borderId="28" xfId="4" applyNumberFormat="1" applyFont="1" applyFill="1" applyBorder="1" applyAlignment="1">
      <alignment horizontal="center"/>
    </xf>
    <xf numFmtId="0" fontId="31" fillId="0" borderId="0" xfId="4" applyFont="1" applyFill="1" applyBorder="1"/>
    <xf numFmtId="6" fontId="29" fillId="0" borderId="0" xfId="4" applyNumberFormat="1" applyFont="1" applyFill="1" applyBorder="1" applyAlignment="1">
      <alignment horizontal="center"/>
    </xf>
    <xf numFmtId="0" fontId="22" fillId="0" borderId="4" xfId="4" applyFont="1" applyBorder="1"/>
    <xf numFmtId="17" fontId="22" fillId="0" borderId="0" xfId="4" applyNumberFormat="1" applyFont="1" applyBorder="1"/>
    <xf numFmtId="17" fontId="22" fillId="0" borderId="0" xfId="4" applyNumberFormat="1" applyFont="1" applyFill="1"/>
    <xf numFmtId="43" fontId="22" fillId="0" borderId="0" xfId="4" applyNumberFormat="1" applyFont="1" applyFill="1"/>
    <xf numFmtId="0" fontId="32" fillId="0" borderId="0" xfId="4" applyFont="1" applyFill="1" applyAlignment="1">
      <alignment horizontal="centerContinuous"/>
    </xf>
    <xf numFmtId="0" fontId="33" fillId="0" borderId="0" xfId="4" applyFont="1" applyFill="1" applyAlignment="1">
      <alignment horizontal="centerContinuous"/>
    </xf>
    <xf numFmtId="0" fontId="36" fillId="0" borderId="0" xfId="4" applyFont="1" applyFill="1" applyBorder="1"/>
    <xf numFmtId="17" fontId="37" fillId="0" borderId="0" xfId="4" quotePrefix="1" applyNumberFormat="1" applyFont="1" applyFill="1" applyBorder="1" applyAlignment="1">
      <alignment horizontal="centerContinuous"/>
    </xf>
    <xf numFmtId="0" fontId="37" fillId="0" borderId="0" xfId="4" applyFont="1" applyFill="1" applyBorder="1" applyAlignment="1">
      <alignment horizontal="centerContinuous"/>
    </xf>
    <xf numFmtId="0" fontId="38" fillId="0" borderId="0" xfId="4" applyFont="1" applyFill="1" applyBorder="1" applyAlignment="1">
      <alignment horizontal="center"/>
    </xf>
    <xf numFmtId="0" fontId="37" fillId="0" borderId="0" xfId="4" applyFont="1" applyFill="1" applyBorder="1" applyAlignment="1">
      <alignment horizontal="center"/>
    </xf>
    <xf numFmtId="16" fontId="37" fillId="0" borderId="0" xfId="4" quotePrefix="1" applyNumberFormat="1" applyFont="1" applyFill="1" applyBorder="1" applyAlignment="1">
      <alignment horizontal="center"/>
    </xf>
    <xf numFmtId="0" fontId="39" fillId="0" borderId="0" xfId="4" applyFont="1" applyFill="1" applyBorder="1" applyAlignment="1">
      <alignment horizontal="center"/>
    </xf>
    <xf numFmtId="16" fontId="39" fillId="0" borderId="0" xfId="4" quotePrefix="1" applyNumberFormat="1" applyFont="1" applyFill="1" applyBorder="1" applyAlignment="1">
      <alignment horizontal="center"/>
    </xf>
    <xf numFmtId="0" fontId="40" fillId="0" borderId="0" xfId="4" applyFont="1" applyFill="1" applyBorder="1" applyAlignment="1">
      <alignment horizontal="center"/>
    </xf>
    <xf numFmtId="37" fontId="36" fillId="0" borderId="0" xfId="4" applyNumberFormat="1" applyFont="1" applyFill="1" applyBorder="1" applyAlignment="1">
      <alignment horizontal="center"/>
    </xf>
    <xf numFmtId="0" fontId="37" fillId="0" borderId="0" xfId="4" applyFont="1" applyFill="1" applyBorder="1"/>
    <xf numFmtId="0" fontId="35" fillId="0" borderId="0" xfId="4" applyFont="1" applyFill="1" applyBorder="1" applyAlignment="1">
      <alignment horizontal="center"/>
    </xf>
    <xf numFmtId="17" fontId="37" fillId="0" borderId="0" xfId="4" applyNumberFormat="1" applyFont="1" applyFill="1" applyBorder="1" applyAlignment="1">
      <alignment horizontal="center"/>
    </xf>
    <xf numFmtId="17" fontId="39" fillId="0" borderId="0" xfId="4" applyNumberFormat="1" applyFont="1" applyFill="1" applyBorder="1" applyAlignment="1">
      <alignment horizontal="center"/>
    </xf>
    <xf numFmtId="0" fontId="37" fillId="0" borderId="0" xfId="4" applyFont="1" applyFill="1" applyBorder="1" applyAlignment="1"/>
    <xf numFmtId="37" fontId="41" fillId="0" borderId="0" xfId="4" applyNumberFormat="1" applyFont="1" applyFill="1" applyBorder="1" applyAlignment="1">
      <alignment horizontal="center"/>
    </xf>
    <xf numFmtId="17" fontId="34" fillId="0" borderId="0" xfId="5" quotePrefix="1" applyNumberFormat="1" applyFont="1" applyFill="1" applyBorder="1" applyAlignment="1">
      <alignment horizontal="center" vertical="center"/>
    </xf>
    <xf numFmtId="49" fontId="34" fillId="0" borderId="0" xfId="5" applyNumberFormat="1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5" fontId="7" fillId="0" borderId="1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43" fontId="16" fillId="0" borderId="15" xfId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 wrapText="1"/>
    </xf>
    <xf numFmtId="43" fontId="16" fillId="0" borderId="9" xfId="1" applyFont="1" applyBorder="1" applyAlignment="1">
      <alignment horizontal="center" vertical="center" wrapText="1"/>
    </xf>
    <xf numFmtId="43" fontId="16" fillId="0" borderId="17" xfId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43" fontId="16" fillId="0" borderId="13" xfId="1" applyFont="1" applyBorder="1" applyAlignment="1">
      <alignment horizontal="center" vertical="center" wrapText="1"/>
    </xf>
    <xf numFmtId="15" fontId="16" fillId="0" borderId="18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2 2 2" xfId="5" xr:uid="{440AA125-90B5-43B3-8074-B05D939690D1}"/>
    <cellStyle name="Normal 24 3" xfId="4" xr:uid="{D2A6235C-0150-47ED-AB26-81F767BA9719}"/>
    <cellStyle name="Normal 3 3" xfId="7" xr:uid="{28A5E7AC-C30B-4842-9877-5D9B92DB54C6}"/>
    <cellStyle name="Percent" xfId="3" builtinId="5"/>
    <cellStyle name="Percent 4 2 2" xfId="6" xr:uid="{1A94BFD0-5D44-49CC-AD96-B12944A2F2EF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 YTD Net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Cooley!$C$32:$C$38</c:f>
              <c:strCache>
                <c:ptCount val="7"/>
                <c:pt idx="0">
                  <c:v>CNT</c:v>
                </c:pt>
                <c:pt idx="1">
                  <c:v>Depository</c:v>
                </c:pt>
                <c:pt idx="2">
                  <c:v>Lending</c:v>
                </c:pt>
                <c:pt idx="3">
                  <c:v>Bay Precious Metals</c:v>
                </c:pt>
                <c:pt idx="4">
                  <c:v>Oliari Co.</c:v>
                </c:pt>
                <c:pt idx="5">
                  <c:v>722 Bedford Street</c:v>
                </c:pt>
                <c:pt idx="6">
                  <c:v>Bridgewater Sports Complex</c:v>
                </c:pt>
              </c:strCache>
            </c:strRef>
          </c:cat>
          <c:val>
            <c:numRef>
              <c:f>Cooley!$F$32:$F$38</c:f>
              <c:numCache>
                <c:formatCode>"$"\ \ #,##0_);\("$"#,##0\)</c:formatCode>
                <c:ptCount val="7"/>
                <c:pt idx="0">
                  <c:v>-556000.79000042868</c:v>
                </c:pt>
                <c:pt idx="1">
                  <c:v>620279.71</c:v>
                </c:pt>
                <c:pt idx="2">
                  <c:v>21000.879999999997</c:v>
                </c:pt>
                <c:pt idx="3">
                  <c:v>434544.4300000011</c:v>
                </c:pt>
                <c:pt idx="4">
                  <c:v>86829.01</c:v>
                </c:pt>
                <c:pt idx="5">
                  <c:v>-68710.149999999994</c:v>
                </c:pt>
                <c:pt idx="6">
                  <c:v>-16906.519999999891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0-4C2F-BDD5-388E6EB2D646}"/>
            </c:ext>
          </c:extLst>
        </c:ser>
        <c:ser>
          <c:idx val="1"/>
          <c:order val="1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Cooley!$C$32:$C$38</c:f>
              <c:strCache>
                <c:ptCount val="7"/>
                <c:pt idx="0">
                  <c:v>CNT</c:v>
                </c:pt>
                <c:pt idx="1">
                  <c:v>Depository</c:v>
                </c:pt>
                <c:pt idx="2">
                  <c:v>Lending</c:v>
                </c:pt>
                <c:pt idx="3">
                  <c:v>Bay Precious Metals</c:v>
                </c:pt>
                <c:pt idx="4">
                  <c:v>Oliari Co.</c:v>
                </c:pt>
                <c:pt idx="5">
                  <c:v>722 Bedford Street</c:v>
                </c:pt>
                <c:pt idx="6">
                  <c:v>Bridgewater Sports Complex</c:v>
                </c:pt>
              </c:strCache>
            </c:strRef>
          </c:cat>
          <c:val>
            <c:numRef>
              <c:f>Cooley!$G$32:$G$38</c:f>
              <c:numCache>
                <c:formatCode>"$"\ \ #,##0_);\("$"#,##0\)</c:formatCode>
                <c:ptCount val="7"/>
                <c:pt idx="0">
                  <c:v>-810682.30000104965</c:v>
                </c:pt>
                <c:pt idx="1">
                  <c:v>453821.18000000017</c:v>
                </c:pt>
                <c:pt idx="2">
                  <c:v>63994.960000000006</c:v>
                </c:pt>
                <c:pt idx="3">
                  <c:v>112155.92000000639</c:v>
                </c:pt>
                <c:pt idx="4">
                  <c:v>290881.90000000002</c:v>
                </c:pt>
                <c:pt idx="5">
                  <c:v>97063.99</c:v>
                </c:pt>
                <c:pt idx="6">
                  <c:v>-55447.770000000135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60-4C2F-BDD5-388E6EB2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843640"/>
        <c:axId val="643844600"/>
      </c:barChart>
      <c:catAx>
        <c:axId val="64384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44600"/>
        <c:crosses val="autoZero"/>
        <c:auto val="1"/>
        <c:lblAlgn val="ctr"/>
        <c:lblOffset val="100"/>
        <c:noMultiLvlLbl val="0"/>
      </c:catAx>
      <c:valAx>
        <c:axId val="64384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\ 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43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166254</xdr:colOff>
      <xdr:row>0</xdr:row>
      <xdr:rowOff>45027</xdr:rowOff>
    </xdr:from>
    <xdr:to>
      <xdr:col>6</xdr:col>
      <xdr:colOff>173182</xdr:colOff>
      <xdr:row>7</xdr:row>
      <xdr:rowOff>61101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8718E3-B593-4743-807C-6750AB6EB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277" y="45027"/>
          <a:ext cx="2059132" cy="104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1181967</xdr:colOff>
      <xdr:row>41</xdr:row>
      <xdr:rowOff>100446</xdr:rowOff>
    </xdr:from>
    <xdr:to>
      <xdr:col>7</xdr:col>
      <xdr:colOff>298739</xdr:colOff>
      <xdr:row>75</xdr:row>
      <xdr:rowOff>38101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679E41A-DE37-40D3-9C60-12B00B580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8%20August%202018/2018%20Combined%20Profit%20&amp;%20Loss%20%20-%20August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8.31.18 (condensd)"/>
      <sheetName val="Summary YTD 08.31.18"/>
      <sheetName val="Comp Summary YTD 2018-2017 Aug"/>
      <sheetName val="Comparative YTD 2018-2017 Augus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26">
          <cell r="B26">
            <v>894395549.28999996</v>
          </cell>
        </row>
        <row r="27">
          <cell r="B27">
            <v>2853794732.1999993</v>
          </cell>
        </row>
        <row r="28">
          <cell r="B28">
            <v>12912728.390000002</v>
          </cell>
        </row>
        <row r="29">
          <cell r="B29">
            <v>11829837.770000001</v>
          </cell>
        </row>
        <row r="30">
          <cell r="B30">
            <v>4474471.5999999996</v>
          </cell>
        </row>
        <row r="31">
          <cell r="B31">
            <v>482370.12</v>
          </cell>
        </row>
        <row r="32">
          <cell r="B32">
            <v>-1569306.6700000011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4">
          <cell r="N104">
            <v>916323048.2700001</v>
          </cell>
        </row>
        <row r="105">
          <cell r="N105">
            <v>2978150042.9100003</v>
          </cell>
        </row>
        <row r="106">
          <cell r="N106">
            <v>12997610.98</v>
          </cell>
        </row>
        <row r="107">
          <cell r="N107">
            <v>11272917.91</v>
          </cell>
        </row>
        <row r="108">
          <cell r="N108">
            <v>475</v>
          </cell>
        </row>
        <row r="109">
          <cell r="N109">
            <v>186533.4</v>
          </cell>
        </row>
        <row r="110">
          <cell r="N110">
            <v>50000</v>
          </cell>
        </row>
        <row r="111">
          <cell r="N111">
            <v>4775400.9700000007</v>
          </cell>
        </row>
        <row r="112">
          <cell r="N112">
            <v>187454.41</v>
          </cell>
        </row>
        <row r="113">
          <cell r="N113">
            <v>32114.799999999999</v>
          </cell>
        </row>
        <row r="114">
          <cell r="N114">
            <v>207598.43</v>
          </cell>
        </row>
        <row r="115">
          <cell r="N115">
            <v>-22361524.990000002</v>
          </cell>
        </row>
        <row r="116">
          <cell r="N116">
            <v>-121554990.55</v>
          </cell>
        </row>
        <row r="117">
          <cell r="N117">
            <v>-35265</v>
          </cell>
        </row>
        <row r="118">
          <cell r="N118">
            <v>-59280</v>
          </cell>
        </row>
        <row r="120">
          <cell r="N120">
            <v>-85</v>
          </cell>
        </row>
        <row r="121">
          <cell r="N121">
            <v>-211235</v>
          </cell>
        </row>
        <row r="122">
          <cell r="N122">
            <v>282324.71000000002</v>
          </cell>
        </row>
        <row r="123">
          <cell r="N123">
            <v>3720</v>
          </cell>
        </row>
        <row r="124">
          <cell r="N124">
            <v>405261.4</v>
          </cell>
        </row>
        <row r="125">
          <cell r="N125">
            <v>-96720</v>
          </cell>
        </row>
        <row r="128">
          <cell r="N128">
            <v>-25962.61</v>
          </cell>
        </row>
        <row r="130">
          <cell r="N130">
            <v>896613582.33000004</v>
          </cell>
        </row>
        <row r="131">
          <cell r="N131">
            <v>2868618272.5899997</v>
          </cell>
        </row>
        <row r="132">
          <cell r="N132">
            <v>12874092.060000001</v>
          </cell>
        </row>
        <row r="133">
          <cell r="N133">
            <v>11019954.630000001</v>
          </cell>
        </row>
        <row r="134">
          <cell r="N134">
            <v>342</v>
          </cell>
        </row>
        <row r="135">
          <cell r="N135">
            <v>169880.32000000001</v>
          </cell>
        </row>
        <row r="136">
          <cell r="N136">
            <v>4289109.0999999996</v>
          </cell>
        </row>
        <row r="137">
          <cell r="N137">
            <v>1190599.72</v>
          </cell>
        </row>
        <row r="138">
          <cell r="N138">
            <v>0</v>
          </cell>
        </row>
        <row r="140">
          <cell r="N140">
            <v>36425.58</v>
          </cell>
        </row>
        <row r="141">
          <cell r="N141">
            <v>1250</v>
          </cell>
        </row>
        <row r="142">
          <cell r="N142">
            <v>343850388.30000001</v>
          </cell>
        </row>
        <row r="143">
          <cell r="N143">
            <v>542244339.00999999</v>
          </cell>
        </row>
        <row r="144">
          <cell r="N144">
            <v>726380</v>
          </cell>
        </row>
        <row r="145">
          <cell r="N145">
            <v>187220</v>
          </cell>
        </row>
        <row r="146">
          <cell r="N146">
            <v>-1386613951.46</v>
          </cell>
        </row>
        <row r="147">
          <cell r="N147">
            <v>-344153015.87</v>
          </cell>
        </row>
        <row r="148">
          <cell r="N148">
            <v>-563286670.60000002</v>
          </cell>
        </row>
        <row r="149">
          <cell r="N149">
            <v>-724515</v>
          </cell>
        </row>
        <row r="150">
          <cell r="N150">
            <v>-188100</v>
          </cell>
        </row>
        <row r="151">
          <cell r="N151">
            <v>1383138969.1599998</v>
          </cell>
        </row>
        <row r="152">
          <cell r="N152">
            <v>2646929888.3000002</v>
          </cell>
        </row>
        <row r="153">
          <cell r="N153">
            <v>6511367.1199999992</v>
          </cell>
        </row>
        <row r="154">
          <cell r="N154">
            <v>1473777.9100000001</v>
          </cell>
        </row>
        <row r="155">
          <cell r="N155">
            <v>25987.119999999995</v>
          </cell>
        </row>
        <row r="156">
          <cell r="N156">
            <v>-807156.65999999992</v>
          </cell>
        </row>
        <row r="157">
          <cell r="N157">
            <v>-6765.130000000001</v>
          </cell>
        </row>
        <row r="158">
          <cell r="N158">
            <v>-332304.57999999996</v>
          </cell>
        </row>
        <row r="159">
          <cell r="N159">
            <v>-2640065460.3800001</v>
          </cell>
        </row>
        <row r="160">
          <cell r="N160">
            <v>-3989.04</v>
          </cell>
        </row>
        <row r="161">
          <cell r="N161">
            <v>-6588069.8099999996</v>
          </cell>
        </row>
        <row r="162">
          <cell r="N162">
            <v>1533589.7099999997</v>
          </cell>
        </row>
        <row r="163">
          <cell r="N163">
            <v>161519.94000000029</v>
          </cell>
        </row>
        <row r="164">
          <cell r="N164">
            <v>120239.15000000001</v>
          </cell>
        </row>
        <row r="165">
          <cell r="N165">
            <v>1195805.92</v>
          </cell>
        </row>
        <row r="166">
          <cell r="N166">
            <v>-1526516.1099999999</v>
          </cell>
        </row>
        <row r="167">
          <cell r="N167">
            <v>800</v>
          </cell>
        </row>
        <row r="168">
          <cell r="N168">
            <v>44034.069999999992</v>
          </cell>
        </row>
        <row r="169">
          <cell r="N169">
            <v>40000</v>
          </cell>
        </row>
        <row r="170">
          <cell r="N170">
            <v>0</v>
          </cell>
        </row>
        <row r="171">
          <cell r="N171">
            <v>189351.53999999998</v>
          </cell>
        </row>
        <row r="172">
          <cell r="N172">
            <v>-3374827.580000001</v>
          </cell>
        </row>
        <row r="173">
          <cell r="N173">
            <v>205623.72000000003</v>
          </cell>
        </row>
        <row r="174">
          <cell r="N174">
            <v>1510</v>
          </cell>
        </row>
        <row r="175">
          <cell r="N175">
            <v>14721.27</v>
          </cell>
        </row>
        <row r="176">
          <cell r="N176">
            <v>126549.43</v>
          </cell>
        </row>
        <row r="177">
          <cell r="N177">
            <v>19706.88</v>
          </cell>
        </row>
        <row r="178">
          <cell r="N178">
            <v>-342</v>
          </cell>
        </row>
        <row r="179">
          <cell r="N179">
            <v>794.81</v>
          </cell>
        </row>
        <row r="180">
          <cell r="N180">
            <v>-20069.78</v>
          </cell>
        </row>
        <row r="181">
          <cell r="N181">
            <v>-342.5</v>
          </cell>
        </row>
        <row r="182">
          <cell r="N182">
            <v>170274.51</v>
          </cell>
        </row>
        <row r="183">
          <cell r="N183">
            <v>3682.32</v>
          </cell>
        </row>
        <row r="184">
          <cell r="N184">
            <v>324010.40999999997</v>
          </cell>
        </row>
        <row r="185">
          <cell r="N185">
            <v>-13692.7</v>
          </cell>
        </row>
        <row r="186">
          <cell r="N186">
            <v>-686.87</v>
          </cell>
        </row>
        <row r="187">
          <cell r="N187">
            <v>91.300000000000011</v>
          </cell>
        </row>
        <row r="188">
          <cell r="N188">
            <v>-1476.8500000000001</v>
          </cell>
        </row>
        <row r="189">
          <cell r="N189">
            <v>168</v>
          </cell>
        </row>
        <row r="206">
          <cell r="N206">
            <v>0</v>
          </cell>
        </row>
        <row r="207">
          <cell r="N207">
            <v>273600</v>
          </cell>
        </row>
        <row r="208">
          <cell r="N208">
            <v>2553.0200000000013</v>
          </cell>
        </row>
        <row r="209">
          <cell r="N209">
            <v>8752.9499999999989</v>
          </cell>
        </row>
        <row r="210">
          <cell r="N210">
            <v>579.03</v>
          </cell>
        </row>
        <row r="211">
          <cell r="N211">
            <v>19715</v>
          </cell>
        </row>
        <row r="212">
          <cell r="N212">
            <v>80227.359999999986</v>
          </cell>
        </row>
        <row r="213">
          <cell r="N213">
            <v>70418.500000000015</v>
          </cell>
        </row>
        <row r="214">
          <cell r="N214">
            <v>29000</v>
          </cell>
        </row>
        <row r="215">
          <cell r="N215">
            <v>40554.869999999995</v>
          </cell>
        </row>
        <row r="216">
          <cell r="N216">
            <v>7875.7</v>
          </cell>
        </row>
        <row r="217">
          <cell r="N217">
            <v>6188.73</v>
          </cell>
        </row>
        <row r="218">
          <cell r="N218">
            <v>2666.64</v>
          </cell>
        </row>
        <row r="219">
          <cell r="N219">
            <v>708078.75</v>
          </cell>
        </row>
        <row r="220">
          <cell r="N220">
            <v>12240.329999999998</v>
          </cell>
        </row>
        <row r="221">
          <cell r="N221">
            <v>1950</v>
          </cell>
        </row>
        <row r="222">
          <cell r="N222">
            <v>298634.65000000002</v>
          </cell>
        </row>
        <row r="227">
          <cell r="N227">
            <v>7245.54</v>
          </cell>
        </row>
        <row r="228">
          <cell r="N228">
            <v>80024.009999999995</v>
          </cell>
        </row>
        <row r="230">
          <cell r="N230">
            <v>3809.0299999999997</v>
          </cell>
        </row>
        <row r="234">
          <cell r="N234">
            <v>35108.390000000007</v>
          </cell>
        </row>
        <row r="235">
          <cell r="N235">
            <v>290.73</v>
          </cell>
        </row>
        <row r="236">
          <cell r="N236">
            <v>13978.66</v>
          </cell>
        </row>
        <row r="237">
          <cell r="N237">
            <v>1268.68</v>
          </cell>
        </row>
        <row r="238">
          <cell r="N238">
            <v>25787.079999999998</v>
          </cell>
        </row>
        <row r="239">
          <cell r="N239">
            <v>21462.45</v>
          </cell>
        </row>
        <row r="240">
          <cell r="N240">
            <v>107637.13999999998</v>
          </cell>
        </row>
        <row r="241">
          <cell r="N241">
            <v>20986.639999999999</v>
          </cell>
        </row>
        <row r="242">
          <cell r="N242">
            <v>14756.6</v>
          </cell>
        </row>
        <row r="243">
          <cell r="N243">
            <v>3523.46</v>
          </cell>
        </row>
        <row r="244">
          <cell r="N244">
            <v>16876.920000000002</v>
          </cell>
        </row>
        <row r="245">
          <cell r="N245">
            <v>22526.6</v>
          </cell>
        </row>
        <row r="246">
          <cell r="N246">
            <v>9681.14</v>
          </cell>
        </row>
        <row r="247">
          <cell r="N247">
            <v>45162.01</v>
          </cell>
        </row>
        <row r="248">
          <cell r="N248">
            <v>232285.71000000002</v>
          </cell>
        </row>
        <row r="249">
          <cell r="N249">
            <v>60500</v>
          </cell>
        </row>
        <row r="250">
          <cell r="N250">
            <v>33930</v>
          </cell>
        </row>
        <row r="251">
          <cell r="N251">
            <v>570</v>
          </cell>
        </row>
        <row r="252">
          <cell r="N252">
            <v>386.71</v>
          </cell>
        </row>
        <row r="253">
          <cell r="G253">
            <v>573.52</v>
          </cell>
        </row>
        <row r="254">
          <cell r="N254">
            <v>6518.25</v>
          </cell>
        </row>
        <row r="258">
          <cell r="N258">
            <v>100000</v>
          </cell>
        </row>
        <row r="259">
          <cell r="N259">
            <v>278737.5</v>
          </cell>
        </row>
        <row r="260">
          <cell r="N260">
            <v>45870.66</v>
          </cell>
        </row>
        <row r="261">
          <cell r="N261">
            <v>138972.24</v>
          </cell>
        </row>
        <row r="262">
          <cell r="N262">
            <v>153263.76</v>
          </cell>
        </row>
        <row r="263">
          <cell r="N263">
            <v>-122661.04</v>
          </cell>
        </row>
        <row r="264">
          <cell r="N264">
            <v>49.6</v>
          </cell>
        </row>
        <row r="265">
          <cell r="N265">
            <v>16193.33</v>
          </cell>
        </row>
        <row r="266">
          <cell r="N266">
            <v>3656.73</v>
          </cell>
        </row>
        <row r="267">
          <cell r="N267">
            <v>20298.79</v>
          </cell>
        </row>
        <row r="268">
          <cell r="N268">
            <v>17304.629999999997</v>
          </cell>
        </row>
        <row r="269">
          <cell r="N269">
            <v>3098.28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725B-34AE-41ED-8466-ADEEF2DB3B20}">
  <sheetPr>
    <tabColor rgb="FF92D050"/>
    <pageSetUpPr fitToPage="1"/>
  </sheetPr>
  <dimension ref="A2:S57"/>
  <sheetViews>
    <sheetView view="pageBreakPreview" topLeftCell="A4" zoomScale="115" zoomScaleNormal="110" zoomScaleSheetLayoutView="115" workbookViewId="0">
      <selection activeCell="E39" sqref="E39"/>
    </sheetView>
  </sheetViews>
  <sheetFormatPr defaultRowHeight="11.25" x14ac:dyDescent="0.15"/>
  <cols>
    <col min="1" max="1" width="3.42578125" style="158" customWidth="1"/>
    <col min="2" max="2" width="1.42578125" style="158" customWidth="1"/>
    <col min="3" max="3" width="29.140625" style="158" customWidth="1"/>
    <col min="4" max="4" width="17.42578125" style="158" bestFit="1" customWidth="1"/>
    <col min="5" max="5" width="1" style="158" customWidth="1"/>
    <col min="6" max="6" width="17" style="158" bestFit="1" customWidth="1"/>
    <col min="7" max="7" width="17.28515625" style="158" customWidth="1"/>
    <col min="8" max="8" width="15.42578125" style="158" customWidth="1"/>
    <col min="9" max="9" width="1.28515625" style="158" customWidth="1"/>
    <col min="10" max="10" width="5.28515625" style="158" customWidth="1"/>
    <col min="11" max="11" width="9.140625" style="161"/>
    <col min="12" max="12" width="10.28515625" style="161" customWidth="1"/>
    <col min="13" max="13" width="9.140625" style="161"/>
    <col min="14" max="16384" width="9.140625" style="162"/>
  </cols>
  <sheetData>
    <row r="2" spans="1:19" x14ac:dyDescent="0.15">
      <c r="C2" s="159"/>
      <c r="D2" s="160"/>
      <c r="E2" s="160"/>
      <c r="F2" s="160"/>
      <c r="G2" s="160"/>
      <c r="H2" s="160"/>
      <c r="I2" s="160"/>
    </row>
    <row r="3" spans="1:19" x14ac:dyDescent="0.15">
      <c r="C3" s="159"/>
      <c r="D3" s="160"/>
      <c r="E3" s="160"/>
      <c r="F3" s="160"/>
      <c r="G3" s="160"/>
      <c r="H3" s="160"/>
      <c r="I3" s="160"/>
    </row>
    <row r="4" spans="1:19" x14ac:dyDescent="0.15">
      <c r="C4" s="159"/>
      <c r="D4" s="160"/>
      <c r="E4" s="160"/>
      <c r="F4" s="160"/>
      <c r="G4" s="160"/>
      <c r="H4" s="160"/>
      <c r="I4" s="160"/>
    </row>
    <row r="5" spans="1:19" x14ac:dyDescent="0.15">
      <c r="C5" s="159"/>
      <c r="D5" s="160"/>
      <c r="E5" s="160"/>
      <c r="F5" s="160"/>
      <c r="G5" s="160"/>
      <c r="H5" s="160"/>
      <c r="I5" s="160"/>
    </row>
    <row r="6" spans="1:19" x14ac:dyDescent="0.15">
      <c r="C6" s="159"/>
      <c r="D6" s="160"/>
      <c r="E6" s="160"/>
      <c r="F6" s="160"/>
      <c r="G6" s="160"/>
      <c r="H6" s="160"/>
      <c r="I6" s="160"/>
    </row>
    <row r="7" spans="1:19" x14ac:dyDescent="0.15">
      <c r="C7" s="159"/>
      <c r="D7" s="160"/>
      <c r="E7" s="160"/>
      <c r="F7" s="160"/>
      <c r="G7" s="160"/>
      <c r="H7" s="160"/>
      <c r="I7" s="160"/>
    </row>
    <row r="8" spans="1:19" x14ac:dyDescent="0.15">
      <c r="C8" s="159"/>
      <c r="D8" s="160"/>
      <c r="E8" s="160"/>
      <c r="F8" s="160"/>
      <c r="G8" s="160"/>
      <c r="H8" s="160"/>
      <c r="I8" s="160"/>
    </row>
    <row r="9" spans="1:19" ht="18" x14ac:dyDescent="0.25">
      <c r="C9" s="203" t="s">
        <v>213</v>
      </c>
      <c r="D9" s="204"/>
      <c r="E9" s="204"/>
      <c r="F9" s="204"/>
      <c r="G9" s="204"/>
      <c r="H9" s="204"/>
      <c r="I9" s="160"/>
    </row>
    <row r="10" spans="1:19" ht="18" x14ac:dyDescent="0.25">
      <c r="C10" s="203" t="s">
        <v>474</v>
      </c>
      <c r="D10" s="204"/>
      <c r="E10" s="204"/>
      <c r="F10" s="204"/>
      <c r="G10" s="204"/>
      <c r="H10" s="204"/>
      <c r="I10" s="160"/>
    </row>
    <row r="11" spans="1:19" ht="15" x14ac:dyDescent="0.15">
      <c r="A11" s="163"/>
      <c r="B11" s="163"/>
      <c r="C11" s="221" t="s">
        <v>483</v>
      </c>
      <c r="D11" s="222"/>
      <c r="E11" s="222"/>
      <c r="F11" s="222"/>
      <c r="G11" s="222"/>
      <c r="H11" s="222"/>
      <c r="I11" s="164"/>
      <c r="J11" s="163"/>
      <c r="N11" s="161"/>
      <c r="O11" s="161"/>
      <c r="P11" s="161"/>
      <c r="Q11" s="161"/>
      <c r="R11" s="161"/>
      <c r="S11" s="161"/>
    </row>
    <row r="12" spans="1:19" ht="12" customHeight="1" thickBot="1" x14ac:dyDescent="0.3">
      <c r="A12" s="163"/>
      <c r="B12" s="163"/>
      <c r="C12" s="165"/>
      <c r="D12" s="164"/>
      <c r="E12" s="164"/>
      <c r="F12" s="164"/>
      <c r="G12" s="164"/>
      <c r="H12" s="164"/>
      <c r="I12" s="164"/>
      <c r="J12" s="163"/>
    </row>
    <row r="13" spans="1:19" ht="3.75" customHeight="1" thickTop="1" x14ac:dyDescent="0.15">
      <c r="A13" s="163"/>
      <c r="B13" s="166"/>
      <c r="C13" s="167"/>
      <c r="D13" s="167"/>
      <c r="E13" s="167"/>
      <c r="F13" s="167"/>
      <c r="G13" s="167"/>
      <c r="H13" s="167"/>
      <c r="I13" s="168"/>
      <c r="J13" s="163"/>
    </row>
    <row r="14" spans="1:19" ht="12.75" x14ac:dyDescent="0.2">
      <c r="A14" s="163"/>
      <c r="B14" s="169"/>
      <c r="C14" s="223" t="s">
        <v>475</v>
      </c>
      <c r="D14" s="223"/>
      <c r="E14" s="223"/>
      <c r="F14" s="223"/>
      <c r="G14" s="223"/>
      <c r="H14" s="223"/>
      <c r="I14" s="170"/>
      <c r="J14" s="163"/>
    </row>
    <row r="15" spans="1:19" ht="3.75" customHeight="1" x14ac:dyDescent="0.15">
      <c r="A15" s="163"/>
      <c r="B15" s="169"/>
      <c r="C15" s="205"/>
      <c r="D15" s="206"/>
      <c r="E15" s="206"/>
      <c r="F15" s="207"/>
      <c r="G15" s="207"/>
      <c r="H15" s="208"/>
      <c r="I15" s="171"/>
      <c r="J15" s="163"/>
    </row>
    <row r="16" spans="1:19" x14ac:dyDescent="0.15">
      <c r="A16" s="163"/>
      <c r="B16" s="169"/>
      <c r="C16" s="205"/>
      <c r="D16" s="209" t="s">
        <v>476</v>
      </c>
      <c r="E16" s="209"/>
      <c r="F16" s="209" t="s">
        <v>476</v>
      </c>
      <c r="G16" s="210" t="s">
        <v>477</v>
      </c>
      <c r="H16" s="208" t="s">
        <v>488</v>
      </c>
      <c r="I16" s="172"/>
      <c r="J16" s="163"/>
      <c r="K16" s="173"/>
    </row>
    <row r="17" spans="1:19" x14ac:dyDescent="0.15">
      <c r="A17" s="163"/>
      <c r="B17" s="169"/>
      <c r="C17" s="205"/>
      <c r="D17" s="211">
        <v>2018</v>
      </c>
      <c r="E17" s="211"/>
      <c r="F17" s="211">
        <v>2017</v>
      </c>
      <c r="G17" s="212" t="s">
        <v>478</v>
      </c>
      <c r="H17" s="213" t="s">
        <v>479</v>
      </c>
      <c r="I17" s="174"/>
      <c r="J17" s="163"/>
    </row>
    <row r="18" spans="1:19" ht="3.75" customHeight="1" x14ac:dyDescent="0.15">
      <c r="A18" s="163"/>
      <c r="B18" s="169"/>
      <c r="C18" s="205"/>
      <c r="D18" s="211"/>
      <c r="E18" s="211"/>
      <c r="F18" s="211"/>
      <c r="G18" s="214"/>
      <c r="H18" s="213"/>
      <c r="I18" s="176"/>
      <c r="J18" s="163"/>
    </row>
    <row r="19" spans="1:19" s="161" customFormat="1" ht="3.75" customHeight="1" x14ac:dyDescent="0.15">
      <c r="A19" s="163"/>
      <c r="B19" s="169"/>
      <c r="C19" s="178"/>
      <c r="D19" s="175"/>
      <c r="E19" s="175"/>
      <c r="F19" s="175"/>
      <c r="G19" s="175"/>
      <c r="H19" s="179"/>
      <c r="I19" s="181"/>
      <c r="J19" s="163"/>
      <c r="N19" s="162"/>
      <c r="O19" s="162"/>
      <c r="P19" s="162"/>
      <c r="Q19" s="162"/>
      <c r="R19" s="162"/>
      <c r="S19" s="162"/>
    </row>
    <row r="20" spans="1:19" s="161" customFormat="1" ht="12.75" x14ac:dyDescent="0.2">
      <c r="A20" s="163"/>
      <c r="B20" s="169"/>
      <c r="C20" s="215" t="s">
        <v>484</v>
      </c>
      <c r="D20" s="182">
        <f>'Comp Summary YTD 2018-2017 Aug'!I27</f>
        <v>7027310.7800012408</v>
      </c>
      <c r="E20" s="182"/>
      <c r="F20" s="182">
        <f>'Comp Summary YTD 2018-2017 Aug'!S27</f>
        <v>6045289.8899989575</v>
      </c>
      <c r="G20" s="175">
        <f t="shared" ref="G20:G25" si="0">D20-F20</f>
        <v>982020.89000228327</v>
      </c>
      <c r="H20" s="179">
        <f t="shared" ref="H20:H25" si="1">+(D20-F20)/F20</f>
        <v>0.16244397007774472</v>
      </c>
      <c r="I20" s="180"/>
      <c r="J20" s="163"/>
      <c r="K20" s="183"/>
      <c r="N20" s="162"/>
      <c r="O20" s="162"/>
      <c r="P20" s="162"/>
      <c r="Q20" s="162"/>
      <c r="R20" s="162"/>
      <c r="S20" s="162"/>
    </row>
    <row r="21" spans="1:19" s="161" customFormat="1" x14ac:dyDescent="0.15">
      <c r="A21" s="163"/>
      <c r="B21" s="169"/>
      <c r="C21" s="215" t="s">
        <v>485</v>
      </c>
      <c r="D21" s="182">
        <f>'Comparative YTD 2018-2017 Aug'!I49</f>
        <v>3494542.2399999998</v>
      </c>
      <c r="E21" s="182"/>
      <c r="F21" s="182">
        <f>'Comparative YTD 2018-2017 Aug'!T49</f>
        <v>3782231.9800000004</v>
      </c>
      <c r="G21" s="220">
        <f t="shared" si="0"/>
        <v>-287689.74000000069</v>
      </c>
      <c r="H21" s="179">
        <f t="shared" si="1"/>
        <v>-7.606348355184725E-2</v>
      </c>
      <c r="I21" s="180"/>
      <c r="J21" s="163"/>
      <c r="N21" s="162"/>
      <c r="O21" s="162"/>
      <c r="P21" s="162"/>
      <c r="Q21" s="162"/>
      <c r="R21" s="162"/>
      <c r="S21" s="162"/>
    </row>
    <row r="22" spans="1:19" s="161" customFormat="1" x14ac:dyDescent="0.15">
      <c r="A22" s="163"/>
      <c r="B22" s="169"/>
      <c r="C22" s="215" t="s">
        <v>486</v>
      </c>
      <c r="D22" s="182">
        <f>'Comparative YTD 2018-2017 Aug'!I74</f>
        <v>2895243.1500000004</v>
      </c>
      <c r="E22" s="182"/>
      <c r="F22" s="182">
        <f>'Comparative YTD 2018-2017 Aug'!T74</f>
        <v>1863163.23</v>
      </c>
      <c r="G22" s="175">
        <f t="shared" si="0"/>
        <v>1032079.9200000004</v>
      </c>
      <c r="H22" s="179">
        <f t="shared" si="1"/>
        <v>0.55393961376105538</v>
      </c>
      <c r="I22" s="180"/>
      <c r="J22" s="163"/>
      <c r="N22" s="162"/>
      <c r="O22" s="162"/>
      <c r="P22" s="162"/>
      <c r="Q22" s="162"/>
      <c r="R22" s="162"/>
      <c r="S22" s="162"/>
    </row>
    <row r="23" spans="1:19" s="161" customFormat="1" ht="12" customHeight="1" x14ac:dyDescent="0.15">
      <c r="A23" s="163"/>
      <c r="B23" s="169"/>
      <c r="C23" s="215" t="s">
        <v>487</v>
      </c>
      <c r="D23" s="182">
        <f>'Comparative YTD 2018-2017 Aug'!I96</f>
        <v>789570.52999999991</v>
      </c>
      <c r="E23" s="182"/>
      <c r="F23" s="182">
        <f>'Comparative YTD 2018-2017 Aug'!T96</f>
        <v>718726.07999999984</v>
      </c>
      <c r="G23" s="175">
        <f t="shared" si="0"/>
        <v>70844.45000000007</v>
      </c>
      <c r="H23" s="179">
        <f t="shared" si="1"/>
        <v>9.8569471696365998E-2</v>
      </c>
      <c r="I23" s="181"/>
      <c r="J23" s="163"/>
      <c r="N23" s="162"/>
      <c r="O23" s="162"/>
      <c r="P23" s="162"/>
      <c r="Q23" s="162"/>
      <c r="R23" s="162"/>
      <c r="S23" s="162"/>
    </row>
    <row r="24" spans="1:19" s="161" customFormat="1" x14ac:dyDescent="0.15">
      <c r="A24" s="163"/>
      <c r="B24" s="169"/>
      <c r="C24" s="215" t="s">
        <v>480</v>
      </c>
      <c r="D24" s="182">
        <f>'Comparative YTD 2018-2017 Aug'!I114</f>
        <v>673081.71</v>
      </c>
      <c r="E24" s="182"/>
      <c r="F24" s="182">
        <f>'Comparative YTD 2018-2017 Aug'!T114</f>
        <v>470619.28</v>
      </c>
      <c r="G24" s="175">
        <f t="shared" si="0"/>
        <v>202462.42999999993</v>
      </c>
      <c r="H24" s="179">
        <f t="shared" si="1"/>
        <v>0.4302042831734389</v>
      </c>
      <c r="I24" s="180"/>
      <c r="J24" s="163"/>
      <c r="N24" s="162"/>
      <c r="O24" s="162"/>
      <c r="P24" s="162"/>
      <c r="Q24" s="162"/>
      <c r="R24" s="162"/>
      <c r="S24" s="162"/>
    </row>
    <row r="25" spans="1:19" s="161" customFormat="1" x14ac:dyDescent="0.15">
      <c r="A25" s="163"/>
      <c r="B25" s="169"/>
      <c r="C25" s="215" t="s">
        <v>481</v>
      </c>
      <c r="D25" s="184">
        <f>D20-D21-D22-D23+D24</f>
        <v>521036.5700012407</v>
      </c>
      <c r="E25" s="184"/>
      <c r="F25" s="184">
        <f>F20-F21-F22-F23+F24</f>
        <v>151787.87999895727</v>
      </c>
      <c r="G25" s="175">
        <f t="shared" si="0"/>
        <v>369248.69000228343</v>
      </c>
      <c r="H25" s="179">
        <f t="shared" si="1"/>
        <v>2.432662541994921</v>
      </c>
      <c r="I25" s="180"/>
      <c r="J25" s="163"/>
      <c r="N25" s="162"/>
      <c r="O25" s="162"/>
      <c r="P25" s="162"/>
      <c r="Q25" s="162"/>
      <c r="R25" s="162"/>
      <c r="S25" s="162"/>
    </row>
    <row r="26" spans="1:19" s="161" customFormat="1" ht="3.75" customHeight="1" thickBot="1" x14ac:dyDescent="0.2">
      <c r="A26" s="163"/>
      <c r="B26" s="185"/>
      <c r="C26" s="186"/>
      <c r="D26" s="187"/>
      <c r="E26" s="187"/>
      <c r="F26" s="186"/>
      <c r="G26" s="186"/>
      <c r="H26" s="186"/>
      <c r="I26" s="188"/>
      <c r="J26" s="163"/>
      <c r="N26" s="162"/>
      <c r="O26" s="162"/>
      <c r="P26" s="162"/>
      <c r="Q26" s="162"/>
      <c r="R26" s="162"/>
      <c r="S26" s="162"/>
    </row>
    <row r="27" spans="1:19" ht="12.75" thickTop="1" thickBot="1" x14ac:dyDescent="0.2">
      <c r="A27" s="163"/>
      <c r="B27" s="189"/>
      <c r="C27" s="190"/>
      <c r="D27" s="189"/>
      <c r="E27" s="189"/>
      <c r="F27" s="189"/>
      <c r="G27" s="189"/>
      <c r="H27" s="189"/>
      <c r="I27" s="189"/>
      <c r="J27" s="163"/>
    </row>
    <row r="28" spans="1:19" s="161" customFormat="1" ht="3.75" customHeight="1" thickTop="1" x14ac:dyDescent="0.15">
      <c r="A28" s="163"/>
      <c r="B28" s="169"/>
      <c r="C28" s="191"/>
      <c r="D28" s="164"/>
      <c r="E28" s="164"/>
      <c r="F28" s="164"/>
      <c r="G28" s="164"/>
      <c r="H28" s="192"/>
      <c r="I28" s="193"/>
      <c r="J28" s="169"/>
    </row>
    <row r="29" spans="1:19" s="161" customFormat="1" ht="12.75" x14ac:dyDescent="0.2">
      <c r="A29" s="163"/>
      <c r="B29" s="169"/>
      <c r="C29" s="223" t="s">
        <v>491</v>
      </c>
      <c r="D29" s="223"/>
      <c r="E29" s="223"/>
      <c r="F29" s="223"/>
      <c r="G29" s="223"/>
      <c r="H29" s="223"/>
      <c r="I29" s="170"/>
      <c r="J29" s="163"/>
    </row>
    <row r="30" spans="1:19" s="161" customFormat="1" ht="12.75" x14ac:dyDescent="0.2">
      <c r="A30" s="163"/>
      <c r="B30" s="169"/>
      <c r="C30" s="216"/>
      <c r="D30" s="217">
        <v>43313</v>
      </c>
      <c r="E30" s="217"/>
      <c r="F30" s="217">
        <v>43313</v>
      </c>
      <c r="G30" s="217">
        <v>42948</v>
      </c>
      <c r="H30" s="209" t="s">
        <v>507</v>
      </c>
      <c r="I30" s="170"/>
      <c r="J30" s="163"/>
    </row>
    <row r="31" spans="1:19" s="161" customFormat="1" x14ac:dyDescent="0.15">
      <c r="A31" s="163"/>
      <c r="B31" s="169"/>
      <c r="C31" s="218" t="s">
        <v>493</v>
      </c>
      <c r="D31" s="218" t="s">
        <v>505</v>
      </c>
      <c r="E31" s="218"/>
      <c r="F31" s="211" t="s">
        <v>482</v>
      </c>
      <c r="G31" s="211" t="s">
        <v>482</v>
      </c>
      <c r="H31" s="211" t="s">
        <v>506</v>
      </c>
      <c r="I31" s="170"/>
      <c r="J31" s="163"/>
    </row>
    <row r="32" spans="1:19" s="161" customFormat="1" x14ac:dyDescent="0.15">
      <c r="A32" s="163"/>
      <c r="B32" s="169"/>
      <c r="C32" s="219" t="s">
        <v>213</v>
      </c>
      <c r="D32" s="182">
        <f>CNT!I272</f>
        <v>-208857.15000011685</v>
      </c>
      <c r="E32" s="182"/>
      <c r="F32" s="182">
        <f>CNT!N272</f>
        <v>-556000.79000042868</v>
      </c>
      <c r="G32" s="182">
        <f>'Comp Summary YTD 2018-2017 Aug'!L37</f>
        <v>-810682.30000104965</v>
      </c>
      <c r="H32" s="182">
        <f t="shared" ref="H32:H39" si="2">F32-G32</f>
        <v>254681.51000062097</v>
      </c>
      <c r="I32" s="170"/>
      <c r="J32" s="177"/>
    </row>
    <row r="33" spans="1:19" s="161" customFormat="1" x14ac:dyDescent="0.15">
      <c r="A33" s="163"/>
      <c r="B33" s="169"/>
      <c r="C33" s="219" t="s">
        <v>277</v>
      </c>
      <c r="D33" s="182">
        <f>DEP!I75</f>
        <v>116860.41000000002</v>
      </c>
      <c r="E33" s="182"/>
      <c r="F33" s="182">
        <f>DEP!J75</f>
        <v>620279.71</v>
      </c>
      <c r="G33" s="182">
        <f>'Comparative YTD 2018-2017 Aug'!O116</f>
        <v>453821.18000000017</v>
      </c>
      <c r="H33" s="182">
        <f t="shared" si="2"/>
        <v>166458.5299999998</v>
      </c>
      <c r="I33" s="170"/>
      <c r="J33" s="177"/>
    </row>
    <row r="34" spans="1:19" s="161" customFormat="1" x14ac:dyDescent="0.15">
      <c r="A34" s="163"/>
      <c r="B34" s="169"/>
      <c r="C34" s="219" t="s">
        <v>216</v>
      </c>
      <c r="D34" s="182">
        <f>Lending!I20</f>
        <v>3456.63</v>
      </c>
      <c r="E34" s="182"/>
      <c r="F34" s="182">
        <f>Lending!J20</f>
        <v>21000.879999999997</v>
      </c>
      <c r="G34" s="182">
        <f>'Comparative YTD 2018-2017 Aug'!P116</f>
        <v>63994.960000000006</v>
      </c>
      <c r="H34" s="182">
        <f t="shared" si="2"/>
        <v>-42994.080000000009</v>
      </c>
      <c r="I34" s="170"/>
      <c r="J34" s="194"/>
    </row>
    <row r="35" spans="1:19" s="161" customFormat="1" ht="12" x14ac:dyDescent="0.2">
      <c r="A35" s="163"/>
      <c r="B35" s="169"/>
      <c r="C35" s="219" t="s">
        <v>340</v>
      </c>
      <c r="D35" s="182">
        <f>BPM!I63</f>
        <v>32262.459999997911</v>
      </c>
      <c r="E35" s="182"/>
      <c r="F35" s="182">
        <f>BPM!J63</f>
        <v>434544.4300000011</v>
      </c>
      <c r="G35" s="182">
        <f>'Comparative YTD 2018-2017 Aug'!N116</f>
        <v>112155.92000000639</v>
      </c>
      <c r="H35" s="182">
        <f t="shared" si="2"/>
        <v>322388.50999999471</v>
      </c>
      <c r="I35" s="170"/>
      <c r="J35" s="194"/>
      <c r="K35" s="195"/>
      <c r="M35" s="195"/>
    </row>
    <row r="36" spans="1:19" s="161" customFormat="1" x14ac:dyDescent="0.15">
      <c r="A36" s="163"/>
      <c r="B36" s="169"/>
      <c r="C36" s="219" t="s">
        <v>412</v>
      </c>
      <c r="D36" s="182">
        <f>'Oliari Co.'!I28</f>
        <v>10889.07</v>
      </c>
      <c r="E36" s="182"/>
      <c r="F36" s="182">
        <f>'Oliari Co.'!J28</f>
        <v>86829.01</v>
      </c>
      <c r="G36" s="182">
        <f>'Comparative YTD 2018-2017 Aug'!R116</f>
        <v>290881.90000000002</v>
      </c>
      <c r="H36" s="182">
        <f t="shared" si="2"/>
        <v>-204052.89</v>
      </c>
      <c r="I36" s="170"/>
      <c r="J36" s="163"/>
    </row>
    <row r="37" spans="1:19" s="161" customFormat="1" x14ac:dyDescent="0.15">
      <c r="A37" s="163"/>
      <c r="B37" s="169"/>
      <c r="C37" s="219" t="s">
        <v>489</v>
      </c>
      <c r="D37" s="182">
        <f>'722 Bedford St'!I29</f>
        <v>10273.6</v>
      </c>
      <c r="E37" s="182"/>
      <c r="F37" s="182">
        <f>'722 Bedford St'!J29</f>
        <v>-68710.149999999994</v>
      </c>
      <c r="G37" s="182">
        <f>'Comparative YTD 2018-2017 Aug'!S116</f>
        <v>97063.99</v>
      </c>
      <c r="H37" s="182">
        <f t="shared" si="2"/>
        <v>-165774.14000000001</v>
      </c>
      <c r="I37" s="196"/>
      <c r="J37" s="163"/>
    </row>
    <row r="38" spans="1:19" s="161" customFormat="1" x14ac:dyDescent="0.15">
      <c r="A38" s="163"/>
      <c r="B38" s="169"/>
      <c r="C38" s="219" t="s">
        <v>490</v>
      </c>
      <c r="D38" s="182">
        <f>'BSC (Dome)'!I82</f>
        <v>-35256.51</v>
      </c>
      <c r="E38" s="182"/>
      <c r="F38" s="182">
        <f>'BSC (Dome)'!J82</f>
        <v>-16906.519999999891</v>
      </c>
      <c r="G38" s="182">
        <f>'Comparative YTD 2018-2017 Aug'!Q116</f>
        <v>-55447.770000000135</v>
      </c>
      <c r="H38" s="182">
        <f t="shared" si="2"/>
        <v>38541.250000000247</v>
      </c>
      <c r="I38" s="170"/>
      <c r="J38" s="163"/>
      <c r="K38" s="163"/>
    </row>
    <row r="39" spans="1:19" s="161" customFormat="1" x14ac:dyDescent="0.15">
      <c r="A39" s="163"/>
      <c r="B39" s="169"/>
      <c r="C39" s="219" t="s">
        <v>492</v>
      </c>
      <c r="D39" s="198">
        <f>SUM(D32:D38)</f>
        <v>-70371.490000118909</v>
      </c>
      <c r="E39" s="198"/>
      <c r="F39" s="198">
        <f>SUM(F32:F38)</f>
        <v>521036.56999957247</v>
      </c>
      <c r="G39" s="198">
        <f>SUM(G32:G38)</f>
        <v>151787.87999895681</v>
      </c>
      <c r="H39" s="198">
        <f t="shared" si="2"/>
        <v>369248.69000061566</v>
      </c>
      <c r="I39" s="170"/>
      <c r="J39" s="163"/>
    </row>
    <row r="40" spans="1:19" s="161" customFormat="1" ht="3.75" customHeight="1" x14ac:dyDescent="0.15">
      <c r="A40" s="163"/>
      <c r="B40" s="169"/>
      <c r="C40" s="163"/>
      <c r="D40" s="163"/>
      <c r="E40" s="163"/>
      <c r="F40" s="163"/>
      <c r="H40" s="163"/>
      <c r="I40" s="170"/>
      <c r="J40" s="197"/>
    </row>
    <row r="41" spans="1:19" s="161" customFormat="1" ht="12" thickBot="1" x14ac:dyDescent="0.2">
      <c r="A41" s="163"/>
      <c r="B41" s="185"/>
      <c r="C41" s="199"/>
      <c r="D41" s="199"/>
      <c r="E41" s="199"/>
      <c r="F41" s="199"/>
      <c r="G41" s="199"/>
      <c r="H41" s="186"/>
      <c r="I41" s="188"/>
      <c r="J41" s="163"/>
    </row>
    <row r="42" spans="1:19" s="161" customFormat="1" ht="12" thickTop="1" x14ac:dyDescent="0.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N42" s="162"/>
      <c r="O42" s="162"/>
      <c r="P42" s="162"/>
      <c r="Q42" s="162"/>
      <c r="R42" s="162"/>
      <c r="S42" s="162"/>
    </row>
    <row r="43" spans="1:19" s="161" customFormat="1" hidden="1" x14ac:dyDescent="0.15">
      <c r="A43" s="163"/>
      <c r="B43" s="163"/>
      <c r="C43" s="200"/>
      <c r="D43" s="163" t="s">
        <v>503</v>
      </c>
      <c r="E43" s="163"/>
      <c r="F43" s="163" t="s">
        <v>504</v>
      </c>
      <c r="G43" s="163"/>
      <c r="H43" s="163"/>
      <c r="I43" s="163"/>
      <c r="J43" s="163"/>
      <c r="N43" s="162"/>
      <c r="O43" s="162"/>
      <c r="P43" s="162"/>
      <c r="Q43" s="162"/>
      <c r="R43" s="162"/>
      <c r="S43" s="162"/>
    </row>
    <row r="44" spans="1:19" hidden="1" x14ac:dyDescent="0.15">
      <c r="C44" s="201" t="s">
        <v>494</v>
      </c>
      <c r="D44" s="202">
        <f>DEP!B75+BPM!B63+Lending!B20+'BSC (Dome)'!B82+'Oliari Co.'!B28+'722 Bedford St'!B29+CNT!B272</f>
        <v>83887.510000085807</v>
      </c>
      <c r="E44" s="202"/>
    </row>
    <row r="45" spans="1:19" hidden="1" x14ac:dyDescent="0.15">
      <c r="C45" s="201" t="s">
        <v>495</v>
      </c>
      <c r="D45" s="202">
        <f>DEP!C75+BPM!C63+Lending!C20+'BSC (Dome)'!C82+'Oliari Co.'!C28+'722 Bedford St'!C29+CNT!C272</f>
        <v>154984.36999987694</v>
      </c>
      <c r="E45" s="202"/>
    </row>
    <row r="46" spans="1:19" hidden="1" x14ac:dyDescent="0.15">
      <c r="C46" s="201" t="s">
        <v>496</v>
      </c>
      <c r="D46" s="202">
        <f>DEP!D75+BPM!D63+Lending!D20+'BSC (Dome)'!D82+'Oliari Co.'!D28+'722 Bedford St'!D29+CNT!D272</f>
        <v>308544.77999999293</v>
      </c>
      <c r="E46" s="202"/>
    </row>
    <row r="47" spans="1:19" hidden="1" x14ac:dyDescent="0.15">
      <c r="C47" s="201" t="s">
        <v>497</v>
      </c>
      <c r="D47" s="202">
        <f>DEP!E75+BPM!E63+Lending!E20+'BSC (Dome)'!E82+'Oliari Co.'!E28+'722 Bedford St'!E29+CNT!E272</f>
        <v>61779.38000010878</v>
      </c>
      <c r="E47" s="202"/>
      <c r="F47" s="202"/>
    </row>
    <row r="48" spans="1:19" hidden="1" x14ac:dyDescent="0.15">
      <c r="C48" s="201" t="s">
        <v>384</v>
      </c>
      <c r="D48" s="202">
        <f>DEP!F75+BPM!F63+Lending!F20+'BSC (Dome)'!F82+'Oliari Co.'!F28+'722 Bedford St'!F29+CNT!F272</f>
        <v>-2973.270000224351</v>
      </c>
      <c r="E48" s="202"/>
      <c r="F48" s="202"/>
    </row>
    <row r="49" spans="3:6" hidden="1" x14ac:dyDescent="0.15">
      <c r="C49" s="201" t="s">
        <v>427</v>
      </c>
      <c r="D49" s="202">
        <f>DEP!G75+BPM!G63+Lending!G20+'BSC (Dome)'!G82+'Oliari Co.'!G28+'722 Bedford St'!G29+CNT!G272</f>
        <v>41222.279999932856</v>
      </c>
      <c r="E49" s="202"/>
      <c r="F49" s="202"/>
    </row>
    <row r="50" spans="3:6" hidden="1" x14ac:dyDescent="0.15">
      <c r="C50" s="201" t="s">
        <v>452</v>
      </c>
      <c r="D50" s="202">
        <f>DEP!H75+BPM!H63+Lending!H20+'BSC (Dome)'!H82+'Oliari Co.'!H28+'722 Bedford St'!H29+CNT!H272</f>
        <v>-56036.990000084334</v>
      </c>
      <c r="E50" s="202"/>
      <c r="F50" s="202"/>
    </row>
    <row r="51" spans="3:6" hidden="1" x14ac:dyDescent="0.15">
      <c r="C51" s="201" t="s">
        <v>498</v>
      </c>
      <c r="D51" s="202">
        <f>DEP!I75+BPM!I63+Lending!I20+'BSC (Dome)'!I82+'Oliari Co.'!I28+'722 Bedford St'!I29+CNT!I272</f>
        <v>-70371.490000118909</v>
      </c>
      <c r="E51" s="202"/>
      <c r="F51" s="202"/>
    </row>
    <row r="52" spans="3:6" hidden="1" x14ac:dyDescent="0.15">
      <c r="C52" s="201" t="s">
        <v>499</v>
      </c>
    </row>
    <row r="53" spans="3:6" hidden="1" x14ac:dyDescent="0.15">
      <c r="C53" s="201" t="s">
        <v>500</v>
      </c>
    </row>
    <row r="54" spans="3:6" hidden="1" x14ac:dyDescent="0.15">
      <c r="C54" s="201" t="s">
        <v>501</v>
      </c>
    </row>
    <row r="55" spans="3:6" hidden="1" x14ac:dyDescent="0.15">
      <c r="C55" s="158" t="s">
        <v>502</v>
      </c>
    </row>
    <row r="56" spans="3:6" hidden="1" x14ac:dyDescent="0.15">
      <c r="D56" s="202">
        <f>SUM(D44:D55)</f>
        <v>521036.56999956962</v>
      </c>
      <c r="E56" s="202"/>
      <c r="F56" s="202">
        <f>SUM(F44:F55)</f>
        <v>0</v>
      </c>
    </row>
    <row r="57" spans="3:6" hidden="1" x14ac:dyDescent="0.15"/>
  </sheetData>
  <mergeCells count="3">
    <mergeCell ref="C11:H11"/>
    <mergeCell ref="C14:H14"/>
    <mergeCell ref="C29:H29"/>
  </mergeCells>
  <conditionalFormatting sqref="I19 I23 H19:H25 D32:F39">
    <cfRule type="cellIs" dxfId="2" priority="4" stopIfTrue="1" operator="lessThan">
      <formula>0</formula>
    </cfRule>
  </conditionalFormatting>
  <conditionalFormatting sqref="G32:G39">
    <cfRule type="cellIs" dxfId="1" priority="2" stopIfTrue="1" operator="lessThan">
      <formula>0</formula>
    </cfRule>
  </conditionalFormatting>
  <conditionalFormatting sqref="H32:H39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96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L85"/>
  <sheetViews>
    <sheetView zoomScaleNormal="100" workbookViewId="0">
      <pane ySplit="6" topLeftCell="A66" activePane="bottomLeft" state="frozen"/>
      <selection activeCell="C24" sqref="C24"/>
      <selection pane="bottomLeft" activeCell="J85" sqref="J85"/>
    </sheetView>
  </sheetViews>
  <sheetFormatPr defaultRowHeight="15" x14ac:dyDescent="0.25"/>
  <cols>
    <col min="1" max="1" width="44.42578125" bestFit="1" customWidth="1"/>
    <col min="2" max="3" width="13" style="39" bestFit="1" customWidth="1"/>
    <col min="4" max="4" width="13.42578125" style="39" bestFit="1" customWidth="1"/>
    <col min="5" max="6" width="13" style="39" bestFit="1" customWidth="1"/>
    <col min="7" max="7" width="13" style="39" customWidth="1"/>
    <col min="8" max="9" width="13" style="39" bestFit="1" customWidth="1"/>
    <col min="10" max="10" width="13.42578125" style="39" bestFit="1" customWidth="1"/>
    <col min="11" max="11" width="9.140625" style="39" customWidth="1"/>
    <col min="12" max="12" width="9.5703125" bestFit="1" customWidth="1"/>
    <col min="14" max="14" width="11.5703125" bestFit="1" customWidth="1"/>
  </cols>
  <sheetData>
    <row r="1" spans="1:10" x14ac:dyDescent="0.25">
      <c r="A1" s="269" t="s">
        <v>352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x14ac:dyDescent="0.25">
      <c r="A2" s="269" t="s">
        <v>278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x14ac:dyDescent="0.25">
      <c r="A3" s="269">
        <v>2018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5">
      <c r="B6" s="44" t="s">
        <v>305</v>
      </c>
      <c r="C6" s="44" t="s">
        <v>306</v>
      </c>
      <c r="D6" s="44" t="s">
        <v>307</v>
      </c>
      <c r="E6" s="44" t="s">
        <v>308</v>
      </c>
      <c r="F6" s="44" t="s">
        <v>384</v>
      </c>
      <c r="G6" s="44" t="s">
        <v>427</v>
      </c>
      <c r="H6" s="44" t="s">
        <v>452</v>
      </c>
      <c r="I6" s="44" t="s">
        <v>465</v>
      </c>
      <c r="J6" s="44" t="s">
        <v>208</v>
      </c>
    </row>
    <row r="7" spans="1:10" x14ac:dyDescent="0.25">
      <c r="A7" s="38" t="s">
        <v>62</v>
      </c>
    </row>
    <row r="8" spans="1:10" x14ac:dyDescent="0.25">
      <c r="A8" t="s">
        <v>353</v>
      </c>
      <c r="B8" s="39">
        <v>365</v>
      </c>
      <c r="C8" s="39">
        <v>372</v>
      </c>
      <c r="D8" s="39">
        <v>340</v>
      </c>
      <c r="E8" s="39">
        <v>208</v>
      </c>
      <c r="F8" s="39">
        <v>0</v>
      </c>
      <c r="G8" s="39">
        <v>65</v>
      </c>
      <c r="H8" s="39">
        <v>0</v>
      </c>
      <c r="I8" s="39">
        <v>0</v>
      </c>
      <c r="J8" s="39">
        <f t="shared" ref="J8:J13" si="0">SUM(B8:I8)</f>
        <v>1350</v>
      </c>
    </row>
    <row r="9" spans="1:10" x14ac:dyDescent="0.25">
      <c r="A9" t="s">
        <v>354</v>
      </c>
      <c r="B9" s="39">
        <v>697</v>
      </c>
      <c r="C9" s="39">
        <v>736</v>
      </c>
      <c r="D9" s="39">
        <v>692</v>
      </c>
      <c r="E9" s="39">
        <v>462</v>
      </c>
      <c r="F9" s="39">
        <v>0</v>
      </c>
      <c r="G9" s="39">
        <v>89</v>
      </c>
      <c r="H9" s="39">
        <v>0</v>
      </c>
      <c r="I9" s="39">
        <v>0</v>
      </c>
      <c r="J9" s="39">
        <f t="shared" si="0"/>
        <v>2676</v>
      </c>
    </row>
    <row r="10" spans="1:10" x14ac:dyDescent="0.25">
      <c r="A10" t="s">
        <v>378</v>
      </c>
      <c r="B10" s="39">
        <v>207.81</v>
      </c>
      <c r="C10" s="39">
        <v>0</v>
      </c>
      <c r="D10" s="39">
        <v>101.02</v>
      </c>
      <c r="E10" s="39">
        <f>55.84+184</f>
        <v>239.84</v>
      </c>
      <c r="F10" s="39">
        <v>52.71</v>
      </c>
      <c r="G10" s="39">
        <v>12.7</v>
      </c>
      <c r="H10" s="39">
        <v>0</v>
      </c>
      <c r="I10" s="39">
        <v>0</v>
      </c>
      <c r="J10" s="39">
        <f t="shared" si="0"/>
        <v>614.08000000000004</v>
      </c>
    </row>
    <row r="11" spans="1:10" x14ac:dyDescent="0.25">
      <c r="A11" t="s">
        <v>356</v>
      </c>
      <c r="B11" s="39">
        <v>904.5</v>
      </c>
      <c r="C11" s="39">
        <v>1299.6300000000001</v>
      </c>
      <c r="D11" s="39">
        <v>1258.3699999999999</v>
      </c>
      <c r="E11" s="39">
        <v>992.9</v>
      </c>
      <c r="F11" s="39">
        <v>403.64</v>
      </c>
      <c r="G11" s="39">
        <v>147.37</v>
      </c>
      <c r="H11" s="39">
        <v>0</v>
      </c>
      <c r="I11" s="39">
        <v>76.73</v>
      </c>
      <c r="J11" s="39">
        <f t="shared" si="0"/>
        <v>5083.1399999999994</v>
      </c>
    </row>
    <row r="12" spans="1:10" x14ac:dyDescent="0.25">
      <c r="A12" t="s">
        <v>355</v>
      </c>
      <c r="B12" s="39">
        <v>55.65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f t="shared" si="0"/>
        <v>55.65</v>
      </c>
    </row>
    <row r="13" spans="1:10" x14ac:dyDescent="0.25">
      <c r="A13" t="s">
        <v>357</v>
      </c>
      <c r="B13" s="39">
        <v>140541.41</v>
      </c>
      <c r="C13" s="39">
        <v>129527.17</v>
      </c>
      <c r="D13" s="39">
        <v>122190.47</v>
      </c>
      <c r="E13" s="39">
        <v>75732.429999999993</v>
      </c>
      <c r="F13" s="39">
        <v>28298</v>
      </c>
      <c r="G13" s="39">
        <v>13693.62</v>
      </c>
      <c r="H13" s="39">
        <v>7035</v>
      </c>
      <c r="I13" s="39">
        <v>12270</v>
      </c>
      <c r="J13" s="39">
        <f t="shared" si="0"/>
        <v>529288.10000000009</v>
      </c>
    </row>
    <row r="14" spans="1:10" s="39" customFormat="1" x14ac:dyDescent="0.25">
      <c r="A14" s="38" t="s">
        <v>224</v>
      </c>
      <c r="B14" s="41">
        <f t="shared" ref="B14:J14" si="1">SUM(B8:B13)</f>
        <v>142771.37</v>
      </c>
      <c r="C14" s="41">
        <f t="shared" si="1"/>
        <v>131934.79999999999</v>
      </c>
      <c r="D14" s="41">
        <f t="shared" si="1"/>
        <v>124581.86</v>
      </c>
      <c r="E14" s="41">
        <f t="shared" si="1"/>
        <v>77635.17</v>
      </c>
      <c r="F14" s="41">
        <f>SUM(F8:F13)</f>
        <v>28754.35</v>
      </c>
      <c r="G14" s="41">
        <f t="shared" ref="G14:H14" si="2">SUM(G8:G13)</f>
        <v>14007.69</v>
      </c>
      <c r="H14" s="41">
        <f t="shared" si="2"/>
        <v>7035</v>
      </c>
      <c r="I14" s="41">
        <f t="shared" si="1"/>
        <v>12346.73</v>
      </c>
      <c r="J14" s="41">
        <f t="shared" si="1"/>
        <v>539066.97000000009</v>
      </c>
    </row>
    <row r="16" spans="1:10" s="39" customFormat="1" x14ac:dyDescent="0.25">
      <c r="A16" s="38"/>
    </row>
    <row r="17" spans="1:10" s="39" customFormat="1" x14ac:dyDescent="0.25">
      <c r="A17" t="s">
        <v>358</v>
      </c>
      <c r="B17" s="39">
        <v>489.92</v>
      </c>
      <c r="C17" s="39">
        <v>578.66999999999996</v>
      </c>
      <c r="D17" s="39">
        <v>0</v>
      </c>
      <c r="E17" s="39">
        <v>0</v>
      </c>
      <c r="F17" s="39">
        <v>0</v>
      </c>
      <c r="G17" s="39">
        <v>579.63</v>
      </c>
      <c r="H17" s="39">
        <v>0</v>
      </c>
      <c r="I17" s="39">
        <v>0</v>
      </c>
      <c r="J17" s="39">
        <f>SUM(B17:I17)</f>
        <v>1648.2199999999998</v>
      </c>
    </row>
    <row r="18" spans="1:10" s="39" customFormat="1" x14ac:dyDescent="0.25">
      <c r="A18" s="38" t="s">
        <v>286</v>
      </c>
      <c r="B18" s="41">
        <f t="shared" ref="B18:J18" si="3">SUM(B17:B17)</f>
        <v>489.92</v>
      </c>
      <c r="C18" s="41">
        <f t="shared" si="3"/>
        <v>578.66999999999996</v>
      </c>
      <c r="D18" s="41">
        <f t="shared" si="3"/>
        <v>0</v>
      </c>
      <c r="E18" s="41">
        <f t="shared" si="3"/>
        <v>0</v>
      </c>
      <c r="F18" s="41">
        <f>SUM(F17:F17)</f>
        <v>0</v>
      </c>
      <c r="G18" s="41">
        <f t="shared" ref="G18:H18" si="4">SUM(G17:G17)</f>
        <v>579.63</v>
      </c>
      <c r="H18" s="41">
        <f t="shared" si="4"/>
        <v>0</v>
      </c>
      <c r="I18" s="41">
        <f t="shared" si="3"/>
        <v>0</v>
      </c>
      <c r="J18" s="41">
        <f t="shared" si="3"/>
        <v>1648.2199999999998</v>
      </c>
    </row>
    <row r="20" spans="1:10" s="39" customFormat="1" ht="15.75" thickBot="1" x14ac:dyDescent="0.3">
      <c r="A20" s="38" t="s">
        <v>212</v>
      </c>
      <c r="B20" s="42">
        <f t="shared" ref="B20:J20" si="5">B14-B18</f>
        <v>142281.44999999998</v>
      </c>
      <c r="C20" s="42">
        <f t="shared" si="5"/>
        <v>131356.12999999998</v>
      </c>
      <c r="D20" s="42">
        <f t="shared" si="5"/>
        <v>124581.86</v>
      </c>
      <c r="E20" s="42">
        <f t="shared" si="5"/>
        <v>77635.17</v>
      </c>
      <c r="F20" s="42">
        <f>F14-F18</f>
        <v>28754.35</v>
      </c>
      <c r="G20" s="42">
        <f t="shared" ref="G20:H20" si="6">G14-G18</f>
        <v>13428.060000000001</v>
      </c>
      <c r="H20" s="42">
        <f t="shared" si="6"/>
        <v>7035</v>
      </c>
      <c r="I20" s="42">
        <f t="shared" si="5"/>
        <v>12346.73</v>
      </c>
      <c r="J20" s="42">
        <f t="shared" si="5"/>
        <v>537418.75000000012</v>
      </c>
    </row>
    <row r="22" spans="1:10" s="39" customFormat="1" x14ac:dyDescent="0.25">
      <c r="A22" s="38" t="s">
        <v>210</v>
      </c>
    </row>
    <row r="23" spans="1:10" s="39" customFormat="1" x14ac:dyDescent="0.25">
      <c r="A23" t="s">
        <v>226</v>
      </c>
      <c r="J23" s="39">
        <f>SUM(B23:E23)</f>
        <v>0</v>
      </c>
    </row>
    <row r="24" spans="1:10" s="39" customFormat="1" x14ac:dyDescent="0.25">
      <c r="A24" t="s">
        <v>287</v>
      </c>
      <c r="B24" s="39">
        <v>15834.2</v>
      </c>
      <c r="C24" s="39">
        <v>24166.18</v>
      </c>
      <c r="D24" s="39">
        <v>37081.71</v>
      </c>
      <c r="E24" s="39">
        <v>20886.21</v>
      </c>
      <c r="F24" s="39">
        <v>18251.09</v>
      </c>
      <c r="G24" s="39">
        <v>16382.41</v>
      </c>
      <c r="H24" s="39">
        <v>15402.13</v>
      </c>
      <c r="I24" s="39">
        <v>14659.46</v>
      </c>
      <c r="J24" s="39">
        <f>SUM(B24:I24)</f>
        <v>162663.38999999998</v>
      </c>
    </row>
    <row r="25" spans="1:10" s="39" customFormat="1" x14ac:dyDescent="0.25">
      <c r="A25" t="s">
        <v>288</v>
      </c>
      <c r="B25" s="39">
        <v>1521.73</v>
      </c>
      <c r="C25" s="39">
        <v>2302.9</v>
      </c>
      <c r="D25" s="39">
        <v>3377.89</v>
      </c>
      <c r="E25" s="39">
        <v>1767.49</v>
      </c>
      <c r="F25" s="39">
        <v>1425.45</v>
      </c>
      <c r="G25" s="39">
        <v>1258.53</v>
      </c>
      <c r="H25" s="39">
        <v>1187.17</v>
      </c>
      <c r="I25" s="39">
        <v>1193.8399999999999</v>
      </c>
      <c r="J25" s="39">
        <f t="shared" ref="J25:J31" si="7">SUM(B25:I25)</f>
        <v>14035.000000000002</v>
      </c>
    </row>
    <row r="26" spans="1:10" s="39" customFormat="1" x14ac:dyDescent="0.25">
      <c r="A26" t="s">
        <v>289</v>
      </c>
      <c r="B26" s="39">
        <v>5181.21</v>
      </c>
      <c r="C26" s="39">
        <v>5181.21</v>
      </c>
      <c r="D26" s="39">
        <v>5370.82</v>
      </c>
      <c r="E26" s="39">
        <v>5181.21</v>
      </c>
      <c r="F26" s="39">
        <v>5181.21</v>
      </c>
      <c r="G26" s="39">
        <v>5181.21</v>
      </c>
      <c r="H26" s="39">
        <v>4324.3999999999996</v>
      </c>
      <c r="I26" s="39">
        <v>4597.0200000000004</v>
      </c>
      <c r="J26" s="39">
        <f t="shared" si="7"/>
        <v>40198.289999999994</v>
      </c>
    </row>
    <row r="27" spans="1:10" s="39" customFormat="1" x14ac:dyDescent="0.25">
      <c r="A27" t="s">
        <v>290</v>
      </c>
      <c r="B27" s="39">
        <v>362.79</v>
      </c>
      <c r="C27" s="39">
        <v>362.79</v>
      </c>
      <c r="D27" s="39">
        <v>0</v>
      </c>
      <c r="E27" s="39">
        <v>362.79</v>
      </c>
      <c r="F27" s="39">
        <v>362.79</v>
      </c>
      <c r="G27" s="39">
        <v>362.79</v>
      </c>
      <c r="H27" s="39">
        <v>288.14999999999998</v>
      </c>
      <c r="I27" s="39">
        <v>325.47000000000003</v>
      </c>
      <c r="J27" s="39">
        <f t="shared" si="7"/>
        <v>2427.5699999999997</v>
      </c>
    </row>
    <row r="28" spans="1:10" s="39" customFormat="1" x14ac:dyDescent="0.25">
      <c r="A28" t="s">
        <v>360</v>
      </c>
      <c r="B28" s="39">
        <v>131.22999999999999</v>
      </c>
      <c r="C28" s="39">
        <v>131.22999999999999</v>
      </c>
      <c r="D28" s="39">
        <v>131.13</v>
      </c>
      <c r="E28" s="39">
        <v>131.22999999999999</v>
      </c>
      <c r="F28" s="39">
        <v>131.22999999999999</v>
      </c>
      <c r="G28" s="39">
        <v>131.22999999999999</v>
      </c>
      <c r="H28" s="39">
        <v>76.239999999999995</v>
      </c>
      <c r="I28" s="39">
        <v>103.75</v>
      </c>
      <c r="J28" s="39">
        <f t="shared" si="7"/>
        <v>967.27</v>
      </c>
    </row>
    <row r="29" spans="1:10" s="39" customFormat="1" x14ac:dyDescent="0.25">
      <c r="A29" t="s">
        <v>336</v>
      </c>
      <c r="B29" s="39">
        <v>450</v>
      </c>
      <c r="C29" s="39">
        <v>450</v>
      </c>
      <c r="D29" s="39">
        <v>450</v>
      </c>
      <c r="E29" s="39">
        <v>450</v>
      </c>
      <c r="F29" s="39">
        <v>450</v>
      </c>
      <c r="G29" s="39">
        <v>500</v>
      </c>
      <c r="H29" s="39">
        <v>500</v>
      </c>
      <c r="I29" s="39">
        <v>500</v>
      </c>
      <c r="J29" s="39">
        <f t="shared" si="7"/>
        <v>3750</v>
      </c>
    </row>
    <row r="30" spans="1:10" s="39" customFormat="1" x14ac:dyDescent="0.25">
      <c r="A30" t="s">
        <v>291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1575.5</v>
      </c>
      <c r="H30" s="39">
        <v>0</v>
      </c>
      <c r="I30" s="39">
        <v>0</v>
      </c>
      <c r="J30" s="39">
        <f t="shared" si="7"/>
        <v>1575.5</v>
      </c>
    </row>
    <row r="31" spans="1:10" s="39" customFormat="1" x14ac:dyDescent="0.25">
      <c r="A31" t="s">
        <v>359</v>
      </c>
      <c r="B31" s="39">
        <v>6984.2</v>
      </c>
      <c r="C31" s="39">
        <v>11650.4</v>
      </c>
      <c r="D31" s="39">
        <v>16897.400000000001</v>
      </c>
      <c r="E31" s="39">
        <v>4709.3999999999996</v>
      </c>
      <c r="F31" s="39">
        <v>1677.6</v>
      </c>
      <c r="G31" s="39">
        <v>1704</v>
      </c>
      <c r="H31" s="39">
        <v>2415</v>
      </c>
      <c r="I31" s="39">
        <v>1907.5</v>
      </c>
      <c r="J31" s="39">
        <f t="shared" si="7"/>
        <v>47945.5</v>
      </c>
    </row>
    <row r="32" spans="1:10" s="39" customFormat="1" x14ac:dyDescent="0.25">
      <c r="A32" s="38" t="s">
        <v>234</v>
      </c>
      <c r="B32" s="41">
        <f>SUM(B24:B31)</f>
        <v>30465.360000000001</v>
      </c>
      <c r="C32" s="41">
        <f t="shared" ref="C32:J32" si="8">SUM(C24:C31)</f>
        <v>44244.71</v>
      </c>
      <c r="D32" s="41">
        <f t="shared" si="8"/>
        <v>63308.95</v>
      </c>
      <c r="E32" s="41">
        <f t="shared" si="8"/>
        <v>33488.33</v>
      </c>
      <c r="F32" s="41">
        <f>SUM(F24:F31)</f>
        <v>27479.37</v>
      </c>
      <c r="G32" s="41">
        <f>SUM(G24:G31)</f>
        <v>27095.67</v>
      </c>
      <c r="H32" s="41">
        <f>SUM(H24:H31)</f>
        <v>24193.09</v>
      </c>
      <c r="I32" s="41">
        <f>SUM(I24:I31)</f>
        <v>23287.040000000001</v>
      </c>
      <c r="J32" s="41">
        <f t="shared" si="8"/>
        <v>273562.52</v>
      </c>
    </row>
    <row r="33" spans="1:10" s="39" customFormat="1" x14ac:dyDescent="0.25">
      <c r="A33" t="s">
        <v>61</v>
      </c>
    </row>
    <row r="34" spans="1:10" s="39" customFormat="1" x14ac:dyDescent="0.25">
      <c r="A34" s="38" t="s">
        <v>292</v>
      </c>
    </row>
    <row r="35" spans="1:10" s="39" customFormat="1" x14ac:dyDescent="0.25">
      <c r="A35" t="s">
        <v>236</v>
      </c>
      <c r="B35" s="39">
        <v>1000</v>
      </c>
      <c r="C35" s="39">
        <v>1000</v>
      </c>
      <c r="D35" s="39">
        <v>1000</v>
      </c>
      <c r="E35" s="39">
        <v>1000</v>
      </c>
      <c r="F35" s="39">
        <v>1000</v>
      </c>
      <c r="G35" s="39">
        <v>1000</v>
      </c>
      <c r="H35" s="39">
        <v>1000</v>
      </c>
      <c r="I35" s="39">
        <v>1000</v>
      </c>
      <c r="J35" s="39">
        <f>SUM(B35:I35)</f>
        <v>8000</v>
      </c>
    </row>
    <row r="36" spans="1:10" s="39" customFormat="1" x14ac:dyDescent="0.25">
      <c r="A36" t="s">
        <v>238</v>
      </c>
      <c r="B36" s="39">
        <v>18970.560000000001</v>
      </c>
      <c r="C36" s="39">
        <v>2008.94</v>
      </c>
      <c r="D36" s="39">
        <v>22275.65</v>
      </c>
      <c r="E36" s="39">
        <v>11359.93</v>
      </c>
      <c r="F36" s="39">
        <v>3739.77</v>
      </c>
      <c r="G36" s="39">
        <v>91.8</v>
      </c>
      <c r="H36" s="39">
        <v>583.80999999999995</v>
      </c>
      <c r="I36" s="39">
        <v>487.15</v>
      </c>
      <c r="J36" s="39">
        <f t="shared" ref="J36:J54" si="9">SUM(B36:I36)</f>
        <v>59517.61</v>
      </c>
    </row>
    <row r="37" spans="1:10" s="39" customFormat="1" x14ac:dyDescent="0.25">
      <c r="A37" t="s">
        <v>237</v>
      </c>
      <c r="B37" s="39">
        <v>883.5</v>
      </c>
      <c r="C37" s="39">
        <v>864.5</v>
      </c>
      <c r="D37" s="39">
        <v>800</v>
      </c>
      <c r="E37" s="39">
        <v>739.5</v>
      </c>
      <c r="F37" s="39">
        <v>416</v>
      </c>
      <c r="G37" s="39">
        <v>379.5</v>
      </c>
      <c r="H37" s="39">
        <v>446</v>
      </c>
      <c r="I37" s="39">
        <v>439.5</v>
      </c>
      <c r="J37" s="39">
        <f t="shared" si="9"/>
        <v>4968.5</v>
      </c>
    </row>
    <row r="38" spans="1:10" s="39" customFormat="1" x14ac:dyDescent="0.25">
      <c r="A38" t="s">
        <v>341</v>
      </c>
      <c r="B38" s="39">
        <v>233.88</v>
      </c>
      <c r="C38" s="39">
        <v>0</v>
      </c>
      <c r="D38" s="39">
        <v>0</v>
      </c>
      <c r="E38" s="39">
        <v>0</v>
      </c>
      <c r="F38" s="39">
        <v>1298.1400000000001</v>
      </c>
      <c r="G38" s="39">
        <v>0</v>
      </c>
      <c r="H38" s="39">
        <v>0</v>
      </c>
      <c r="I38" s="39">
        <v>0</v>
      </c>
      <c r="J38" s="39">
        <f t="shared" si="9"/>
        <v>1532.02</v>
      </c>
    </row>
    <row r="39" spans="1:10" s="39" customFormat="1" x14ac:dyDescent="0.25">
      <c r="A39" t="s">
        <v>294</v>
      </c>
      <c r="B39" s="39">
        <v>624.76</v>
      </c>
      <c r="C39" s="39">
        <v>504.76</v>
      </c>
      <c r="D39" s="39">
        <v>624.76</v>
      </c>
      <c r="E39" s="39">
        <v>624.76</v>
      </c>
      <c r="F39" s="39">
        <v>624.76</v>
      </c>
      <c r="G39" s="39">
        <v>624.76</v>
      </c>
      <c r="H39" s="39">
        <v>624.76</v>
      </c>
      <c r="I39" s="39">
        <v>747.91</v>
      </c>
      <c r="J39" s="39">
        <f t="shared" si="9"/>
        <v>5001.2300000000005</v>
      </c>
    </row>
    <row r="40" spans="1:10" s="39" customFormat="1" x14ac:dyDescent="0.25">
      <c r="A40" t="s">
        <v>458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f t="shared" si="9"/>
        <v>0</v>
      </c>
    </row>
    <row r="41" spans="1:10" s="39" customFormat="1" x14ac:dyDescent="0.25">
      <c r="A41" t="s">
        <v>362</v>
      </c>
      <c r="B41" s="39">
        <v>990</v>
      </c>
      <c r="C41" s="39">
        <v>399.19</v>
      </c>
      <c r="D41" s="39">
        <f>292.3+700.49</f>
        <v>992.79</v>
      </c>
      <c r="E41" s="39">
        <v>0</v>
      </c>
      <c r="F41" s="39">
        <v>0</v>
      </c>
      <c r="G41" s="39">
        <v>66.2</v>
      </c>
      <c r="H41" s="39">
        <f>360+106.4</f>
        <v>466.4</v>
      </c>
      <c r="I41" s="39">
        <v>0</v>
      </c>
      <c r="J41" s="39">
        <f t="shared" si="9"/>
        <v>2914.58</v>
      </c>
    </row>
    <row r="42" spans="1:10" s="39" customFormat="1" x14ac:dyDescent="0.25">
      <c r="A42" t="s">
        <v>363</v>
      </c>
      <c r="B42" s="39">
        <v>1367.42</v>
      </c>
      <c r="C42" s="39">
        <v>0</v>
      </c>
      <c r="D42" s="39">
        <v>573.99</v>
      </c>
      <c r="E42" s="39">
        <v>425.44</v>
      </c>
      <c r="F42" s="39">
        <v>1130</v>
      </c>
      <c r="G42" s="39">
        <v>3112</v>
      </c>
      <c r="H42" s="39">
        <v>0</v>
      </c>
      <c r="I42" s="39">
        <v>470</v>
      </c>
      <c r="J42" s="39">
        <f t="shared" si="9"/>
        <v>7078.85</v>
      </c>
    </row>
    <row r="43" spans="1:10" s="39" customFormat="1" x14ac:dyDescent="0.25">
      <c r="A43" t="s">
        <v>364</v>
      </c>
      <c r="B43" s="39">
        <f>103.4+4531.26</f>
        <v>4634.66</v>
      </c>
      <c r="C43" s="39">
        <f>106.4+1356.39</f>
        <v>1462.7900000000002</v>
      </c>
      <c r="D43" s="39">
        <f>106.4+1345.43</f>
        <v>1451.8300000000002</v>
      </c>
      <c r="E43" s="39">
        <f>106.4+873.33</f>
        <v>979.73</v>
      </c>
      <c r="F43" s="39">
        <f>106.4+1079.16</f>
        <v>1185.5600000000002</v>
      </c>
      <c r="G43" s="39">
        <f>281.25+106.4</f>
        <v>387.65</v>
      </c>
      <c r="H43" s="39">
        <v>1838.18</v>
      </c>
      <c r="I43" s="39">
        <f>106.4+977.97</f>
        <v>1084.3700000000001</v>
      </c>
      <c r="J43" s="39">
        <f t="shared" si="9"/>
        <v>13024.77</v>
      </c>
    </row>
    <row r="44" spans="1:10" s="39" customFormat="1" x14ac:dyDescent="0.25">
      <c r="A44" t="s">
        <v>241</v>
      </c>
      <c r="B44" s="39">
        <v>0</v>
      </c>
      <c r="C44" s="39">
        <v>0</v>
      </c>
      <c r="D44" s="39">
        <v>0</v>
      </c>
      <c r="E44" s="39">
        <v>233.66</v>
      </c>
      <c r="F44" s="39">
        <v>0</v>
      </c>
      <c r="G44" s="39">
        <v>0</v>
      </c>
      <c r="H44" s="39">
        <v>253.01</v>
      </c>
      <c r="I44" s="39">
        <v>0</v>
      </c>
      <c r="J44" s="39">
        <f t="shared" si="9"/>
        <v>486.66999999999996</v>
      </c>
    </row>
    <row r="45" spans="1:10" s="39" customFormat="1" x14ac:dyDescent="0.25">
      <c r="A45" t="s">
        <v>242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f t="shared" si="9"/>
        <v>0</v>
      </c>
    </row>
    <row r="46" spans="1:10" s="39" customFormat="1" x14ac:dyDescent="0.25">
      <c r="A46" t="s">
        <v>240</v>
      </c>
      <c r="B46" s="39">
        <v>2424</v>
      </c>
      <c r="C46" s="39">
        <v>2424</v>
      </c>
      <c r="D46" s="39">
        <v>2424</v>
      </c>
      <c r="E46" s="39">
        <v>2424</v>
      </c>
      <c r="F46" s="39">
        <v>2426</v>
      </c>
      <c r="G46" s="39">
        <v>2424</v>
      </c>
      <c r="H46" s="39">
        <v>2424</v>
      </c>
      <c r="I46" s="39">
        <v>2424</v>
      </c>
      <c r="J46" s="39">
        <f t="shared" si="9"/>
        <v>19394</v>
      </c>
    </row>
    <row r="47" spans="1:10" s="39" customFormat="1" x14ac:dyDescent="0.25">
      <c r="A47" t="s">
        <v>361</v>
      </c>
      <c r="B47" s="39">
        <v>109</v>
      </c>
      <c r="C47" s="39">
        <v>0</v>
      </c>
      <c r="D47" s="39">
        <v>456</v>
      </c>
      <c r="E47" s="39">
        <v>0</v>
      </c>
      <c r="G47" s="39">
        <v>0</v>
      </c>
      <c r="H47" s="39">
        <v>0</v>
      </c>
      <c r="I47" s="39">
        <v>300</v>
      </c>
      <c r="J47" s="39">
        <f t="shared" si="9"/>
        <v>865</v>
      </c>
    </row>
    <row r="48" spans="1:10" s="39" customFormat="1" x14ac:dyDescent="0.25">
      <c r="A48" t="s">
        <v>377</v>
      </c>
      <c r="B48" s="39">
        <v>0</v>
      </c>
      <c r="C48" s="39">
        <v>0</v>
      </c>
      <c r="D48" s="39">
        <v>803.9</v>
      </c>
      <c r="E48" s="39">
        <v>0</v>
      </c>
      <c r="F48" s="39">
        <v>1736.17</v>
      </c>
      <c r="G48" s="39">
        <v>378.9</v>
      </c>
      <c r="H48" s="39">
        <v>0</v>
      </c>
      <c r="I48" s="39">
        <v>0</v>
      </c>
      <c r="J48" s="39">
        <f t="shared" si="9"/>
        <v>2918.9700000000003</v>
      </c>
    </row>
    <row r="49" spans="1:10" s="39" customFormat="1" x14ac:dyDescent="0.25">
      <c r="A49" t="s">
        <v>243</v>
      </c>
      <c r="B49" s="39">
        <v>491.08</v>
      </c>
      <c r="C49" s="39">
        <v>758.32</v>
      </c>
      <c r="D49" s="39">
        <v>0</v>
      </c>
      <c r="E49" s="39">
        <v>168.11</v>
      </c>
      <c r="F49" s="39">
        <v>0</v>
      </c>
      <c r="G49" s="39">
        <v>0</v>
      </c>
      <c r="H49" s="39">
        <v>0</v>
      </c>
      <c r="I49" s="39">
        <v>0</v>
      </c>
      <c r="J49" s="39">
        <f t="shared" si="9"/>
        <v>1417.5100000000002</v>
      </c>
    </row>
    <row r="50" spans="1:10" s="39" customFormat="1" x14ac:dyDescent="0.25">
      <c r="A50" t="s">
        <v>250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f t="shared" si="9"/>
        <v>0</v>
      </c>
    </row>
    <row r="51" spans="1:10" s="39" customFormat="1" x14ac:dyDescent="0.25">
      <c r="A51" t="s">
        <v>244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f t="shared" si="9"/>
        <v>0</v>
      </c>
    </row>
    <row r="52" spans="1:10" s="39" customFormat="1" x14ac:dyDescent="0.25">
      <c r="A52" t="s">
        <v>296</v>
      </c>
      <c r="B52" s="39">
        <v>9382.49</v>
      </c>
      <c r="C52" s="39">
        <v>9382.09</v>
      </c>
      <c r="D52" s="39">
        <v>9382.09</v>
      </c>
      <c r="E52" s="39">
        <v>9382.09</v>
      </c>
      <c r="F52" s="39">
        <v>9382.09</v>
      </c>
      <c r="G52" s="39">
        <v>9382.09</v>
      </c>
      <c r="H52" s="39">
        <v>9382.09</v>
      </c>
      <c r="I52" s="39">
        <v>9429.58</v>
      </c>
      <c r="J52" s="39">
        <f t="shared" si="9"/>
        <v>75104.61</v>
      </c>
    </row>
    <row r="53" spans="1:10" s="39" customFormat="1" x14ac:dyDescent="0.25">
      <c r="A53" t="s">
        <v>299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f t="shared" si="9"/>
        <v>0</v>
      </c>
    </row>
    <row r="54" spans="1:10" s="39" customFormat="1" x14ac:dyDescent="0.25">
      <c r="A54" t="s">
        <v>374</v>
      </c>
      <c r="B54" s="39">
        <v>0</v>
      </c>
      <c r="C54" s="39">
        <v>2048</v>
      </c>
      <c r="D54" s="39">
        <v>0</v>
      </c>
      <c r="E54" s="39">
        <v>324.79000000000002</v>
      </c>
      <c r="F54" s="39">
        <v>0</v>
      </c>
      <c r="G54" s="39">
        <v>0</v>
      </c>
      <c r="H54" s="39">
        <v>0</v>
      </c>
      <c r="I54" s="39">
        <v>0</v>
      </c>
      <c r="J54" s="39">
        <f t="shared" si="9"/>
        <v>2372.79</v>
      </c>
    </row>
    <row r="55" spans="1:10" s="39" customFormat="1" x14ac:dyDescent="0.25">
      <c r="A55" t="s">
        <v>375</v>
      </c>
      <c r="B55" s="39">
        <v>1140.8399999999999</v>
      </c>
      <c r="C55" s="39">
        <v>925.84</v>
      </c>
      <c r="D55" s="39">
        <v>0</v>
      </c>
      <c r="E55" s="39">
        <v>795.42</v>
      </c>
      <c r="F55" s="39">
        <v>345.42</v>
      </c>
      <c r="G55" s="39">
        <v>359.24</v>
      </c>
      <c r="H55" s="39">
        <v>809.24</v>
      </c>
      <c r="I55" s="39">
        <v>359.24</v>
      </c>
      <c r="J55" s="39">
        <f>SUM(B55:I55)</f>
        <v>4735.24</v>
      </c>
    </row>
    <row r="56" spans="1:10" s="39" customFormat="1" x14ac:dyDescent="0.25">
      <c r="A56" s="38" t="s">
        <v>338</v>
      </c>
      <c r="B56" s="41">
        <f t="shared" ref="B56:J56" si="10">SUM(B35:B55)</f>
        <v>42252.19</v>
      </c>
      <c r="C56" s="41">
        <f t="shared" si="10"/>
        <v>21778.43</v>
      </c>
      <c r="D56" s="41">
        <f t="shared" si="10"/>
        <v>40785.010000000009</v>
      </c>
      <c r="E56" s="41">
        <f t="shared" si="10"/>
        <v>28457.43</v>
      </c>
      <c r="F56" s="41">
        <f>SUM(F35:F55)</f>
        <v>23283.91</v>
      </c>
      <c r="G56" s="41">
        <f t="shared" ref="G56:H56" si="11">SUM(G35:G55)</f>
        <v>18206.140000000003</v>
      </c>
      <c r="H56" s="41">
        <f t="shared" si="11"/>
        <v>17827.490000000002</v>
      </c>
      <c r="I56" s="41">
        <f t="shared" si="10"/>
        <v>16741.75</v>
      </c>
      <c r="J56" s="41">
        <f t="shared" si="10"/>
        <v>209332.35</v>
      </c>
    </row>
    <row r="58" spans="1:10" s="39" customFormat="1" x14ac:dyDescent="0.25">
      <c r="A58" s="38" t="s">
        <v>297</v>
      </c>
    </row>
    <row r="59" spans="1:10" s="39" customFormat="1" x14ac:dyDescent="0.25">
      <c r="A59" t="s">
        <v>253</v>
      </c>
      <c r="B59" s="39">
        <v>312.36</v>
      </c>
      <c r="C59" s="39">
        <v>716.18</v>
      </c>
      <c r="D59" s="39">
        <v>449.5</v>
      </c>
      <c r="E59" s="39">
        <v>269.7</v>
      </c>
      <c r="F59" s="39">
        <v>285.98</v>
      </c>
      <c r="G59" s="39">
        <v>195.44</v>
      </c>
      <c r="H59" s="39">
        <v>201.76</v>
      </c>
      <c r="I59" s="39">
        <v>295.45999999999998</v>
      </c>
      <c r="J59" s="39">
        <f>SUM(B59:I59)</f>
        <v>2726.38</v>
      </c>
    </row>
    <row r="60" spans="1:10" s="39" customFormat="1" ht="14.25" customHeight="1" x14ac:dyDescent="0.25">
      <c r="A60" t="s">
        <v>254</v>
      </c>
      <c r="B60" s="39">
        <v>695.17</v>
      </c>
      <c r="C60" s="39">
        <v>459.08</v>
      </c>
      <c r="D60" s="39">
        <v>395.17</v>
      </c>
      <c r="E60" s="39">
        <v>502.1</v>
      </c>
      <c r="F60" s="39">
        <v>-70.98</v>
      </c>
      <c r="G60" s="39">
        <v>481.53</v>
      </c>
      <c r="H60" s="39">
        <v>-592.38</v>
      </c>
      <c r="I60" s="39">
        <v>238</v>
      </c>
      <c r="J60" s="39">
        <f t="shared" ref="J60:J69" si="12">SUM(B60:I60)</f>
        <v>2107.6899999999996</v>
      </c>
    </row>
    <row r="61" spans="1:10" s="39" customFormat="1" ht="14.25" customHeight="1" x14ac:dyDescent="0.25">
      <c r="A61" t="s">
        <v>368</v>
      </c>
      <c r="B61" s="39">
        <v>485.42</v>
      </c>
      <c r="C61" s="39">
        <v>636.49</v>
      </c>
      <c r="D61" s="39">
        <v>407.96</v>
      </c>
      <c r="E61" s="39">
        <v>543.39</v>
      </c>
      <c r="F61" s="39">
        <v>372.65</v>
      </c>
      <c r="G61" s="39">
        <v>279.72000000000003</v>
      </c>
      <c r="H61" s="39">
        <v>177.55</v>
      </c>
      <c r="I61" s="39">
        <v>395.46</v>
      </c>
      <c r="J61" s="39">
        <f t="shared" si="12"/>
        <v>3298.6400000000003</v>
      </c>
    </row>
    <row r="62" spans="1:10" s="39" customFormat="1" x14ac:dyDescent="0.25">
      <c r="A62" t="s">
        <v>298</v>
      </c>
      <c r="B62" s="39">
        <v>0</v>
      </c>
      <c r="C62" s="39">
        <v>200</v>
      </c>
      <c r="D62" s="39">
        <v>250</v>
      </c>
      <c r="E62" s="39">
        <v>300</v>
      </c>
      <c r="F62" s="39">
        <v>850</v>
      </c>
      <c r="G62" s="39">
        <v>0</v>
      </c>
      <c r="H62" s="39">
        <v>1000</v>
      </c>
      <c r="I62" s="39">
        <v>0</v>
      </c>
      <c r="J62" s="39">
        <f t="shared" si="12"/>
        <v>2600</v>
      </c>
    </row>
    <row r="63" spans="1:10" s="39" customFormat="1" x14ac:dyDescent="0.25">
      <c r="A63" t="s">
        <v>310</v>
      </c>
      <c r="B63" s="39">
        <v>265.62</v>
      </c>
      <c r="C63" s="39">
        <v>265.62</v>
      </c>
      <c r="D63" s="39">
        <v>0</v>
      </c>
      <c r="E63" s="39">
        <v>132.81</v>
      </c>
      <c r="F63" s="39">
        <v>132.81</v>
      </c>
      <c r="G63" s="39">
        <v>132.81</v>
      </c>
      <c r="H63" s="39">
        <v>132.81</v>
      </c>
      <c r="I63" s="39">
        <v>132.81</v>
      </c>
      <c r="J63" s="39">
        <f t="shared" si="12"/>
        <v>1195.2899999999997</v>
      </c>
    </row>
    <row r="64" spans="1:10" s="39" customFormat="1" x14ac:dyDescent="0.25">
      <c r="A64" t="s">
        <v>376</v>
      </c>
      <c r="B64" s="39">
        <v>0</v>
      </c>
      <c r="C64" s="39">
        <v>7242.01</v>
      </c>
      <c r="D64" s="39">
        <v>0</v>
      </c>
      <c r="E64" s="39">
        <v>3087.89</v>
      </c>
      <c r="F64" s="39">
        <v>0</v>
      </c>
      <c r="G64" s="39">
        <v>0</v>
      </c>
      <c r="H64" s="39">
        <v>0</v>
      </c>
      <c r="I64" s="39">
        <v>0</v>
      </c>
      <c r="J64" s="39">
        <f t="shared" si="12"/>
        <v>10329.9</v>
      </c>
    </row>
    <row r="65" spans="1:12" s="39" customFormat="1" x14ac:dyDescent="0.25">
      <c r="A65" t="s">
        <v>255</v>
      </c>
      <c r="B65" s="39">
        <v>792.59</v>
      </c>
      <c r="C65" s="39">
        <v>18.940000000000001</v>
      </c>
      <c r="D65" s="39">
        <v>0</v>
      </c>
      <c r="E65" s="39">
        <v>164.03</v>
      </c>
      <c r="F65" s="39">
        <v>0</v>
      </c>
      <c r="G65" s="39">
        <v>0</v>
      </c>
      <c r="H65" s="39">
        <v>0</v>
      </c>
      <c r="I65" s="39">
        <v>12.74</v>
      </c>
      <c r="J65" s="39">
        <f t="shared" si="12"/>
        <v>988.30000000000007</v>
      </c>
    </row>
    <row r="66" spans="1:12" s="39" customFormat="1" x14ac:dyDescent="0.25">
      <c r="A66" t="s">
        <v>365</v>
      </c>
      <c r="B66" s="39">
        <v>550</v>
      </c>
      <c r="C66" s="39">
        <v>550</v>
      </c>
      <c r="D66" s="39">
        <v>550</v>
      </c>
      <c r="E66" s="39">
        <v>550</v>
      </c>
      <c r="F66" s="39">
        <v>550</v>
      </c>
      <c r="G66" s="39">
        <v>375</v>
      </c>
      <c r="H66" s="39">
        <v>375</v>
      </c>
      <c r="I66" s="39">
        <v>375</v>
      </c>
      <c r="J66" s="39">
        <f t="shared" si="12"/>
        <v>3875</v>
      </c>
    </row>
    <row r="67" spans="1:12" s="39" customFormat="1" x14ac:dyDescent="0.25">
      <c r="A67" t="s">
        <v>366</v>
      </c>
      <c r="B67" s="39">
        <v>1500</v>
      </c>
      <c r="C67" s="39">
        <v>1500</v>
      </c>
      <c r="D67" s="39">
        <v>1500</v>
      </c>
      <c r="E67" s="39">
        <v>1500</v>
      </c>
      <c r="F67" s="39">
        <v>1500</v>
      </c>
      <c r="G67" s="39">
        <v>1500</v>
      </c>
      <c r="H67" s="39">
        <v>1500</v>
      </c>
      <c r="I67" s="39">
        <v>1500</v>
      </c>
      <c r="J67" s="39">
        <f t="shared" si="12"/>
        <v>12000</v>
      </c>
    </row>
    <row r="68" spans="1:12" s="39" customFormat="1" x14ac:dyDescent="0.25">
      <c r="A68" t="s">
        <v>367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f t="shared" si="12"/>
        <v>0</v>
      </c>
    </row>
    <row r="69" spans="1:12" s="39" customFormat="1" x14ac:dyDescent="0.25">
      <c r="A69" t="s">
        <v>258</v>
      </c>
      <c r="B69" s="39">
        <v>0</v>
      </c>
      <c r="C69" s="39">
        <v>0</v>
      </c>
      <c r="D69" s="39">
        <v>0</v>
      </c>
      <c r="E69" s="39">
        <v>0</v>
      </c>
      <c r="F69" s="39">
        <v>0</v>
      </c>
      <c r="G69" s="39">
        <v>642</v>
      </c>
      <c r="H69" s="39">
        <v>0</v>
      </c>
      <c r="I69" s="39">
        <v>0</v>
      </c>
      <c r="J69" s="39">
        <f t="shared" si="12"/>
        <v>642</v>
      </c>
    </row>
    <row r="70" spans="1:12" s="39" customFormat="1" x14ac:dyDescent="0.25">
      <c r="A70" s="38" t="s">
        <v>300</v>
      </c>
      <c r="B70" s="41">
        <f>SUM(B59:B69)</f>
        <v>4601.16</v>
      </c>
      <c r="C70" s="41">
        <f t="shared" ref="C70:J70" si="13">SUM(C59:C69)</f>
        <v>11588.320000000002</v>
      </c>
      <c r="D70" s="41">
        <f t="shared" si="13"/>
        <v>3552.63</v>
      </c>
      <c r="E70" s="41">
        <f t="shared" si="13"/>
        <v>7049.9199999999992</v>
      </c>
      <c r="F70" s="41">
        <f>SUM(F59:F69)</f>
        <v>3620.46</v>
      </c>
      <c r="G70" s="41">
        <f>SUM(G59:G69)</f>
        <v>3606.5</v>
      </c>
      <c r="H70" s="41">
        <f>SUM(H59:H69)</f>
        <v>2794.74</v>
      </c>
      <c r="I70" s="41">
        <f>SUM(I59:I69)</f>
        <v>2949.4700000000003</v>
      </c>
      <c r="J70" s="41">
        <f t="shared" si="13"/>
        <v>39763.199999999997</v>
      </c>
    </row>
    <row r="71" spans="1:12" s="39" customFormat="1" x14ac:dyDescent="0.25">
      <c r="A71" t="s">
        <v>247</v>
      </c>
    </row>
    <row r="72" spans="1:12" s="39" customFormat="1" ht="15.75" thickBot="1" x14ac:dyDescent="0.3">
      <c r="A72" s="38" t="s">
        <v>211</v>
      </c>
      <c r="B72" s="42">
        <f t="shared" ref="B72:J72" si="14">B32+B56+B70</f>
        <v>77318.710000000006</v>
      </c>
      <c r="C72" s="42">
        <f t="shared" si="14"/>
        <v>77611.460000000006</v>
      </c>
      <c r="D72" s="42">
        <f t="shared" si="14"/>
        <v>107646.59000000001</v>
      </c>
      <c r="E72" s="42">
        <f t="shared" si="14"/>
        <v>68995.680000000008</v>
      </c>
      <c r="F72" s="42">
        <f>F32+F56+F70</f>
        <v>54383.74</v>
      </c>
      <c r="G72" s="42">
        <f t="shared" ref="G72:H72" si="15">G32+G56+G70</f>
        <v>48908.31</v>
      </c>
      <c r="H72" s="42">
        <f t="shared" si="15"/>
        <v>44815.32</v>
      </c>
      <c r="I72" s="42">
        <f t="shared" si="14"/>
        <v>42978.26</v>
      </c>
      <c r="J72" s="42">
        <f t="shared" si="14"/>
        <v>522658.07</v>
      </c>
    </row>
    <row r="74" spans="1:12" s="39" customFormat="1" x14ac:dyDescent="0.25">
      <c r="A74" s="38" t="s">
        <v>301</v>
      </c>
      <c r="L74" s="39">
        <v>0</v>
      </c>
    </row>
    <row r="75" spans="1:12" s="39" customFormat="1" x14ac:dyDescent="0.25">
      <c r="A75" t="s">
        <v>370</v>
      </c>
      <c r="B75" s="39">
        <v>5000</v>
      </c>
      <c r="C75" s="39">
        <v>5000</v>
      </c>
      <c r="D75" s="39">
        <v>5000</v>
      </c>
      <c r="E75" s="39">
        <v>5000</v>
      </c>
      <c r="F75" s="39">
        <v>5000</v>
      </c>
      <c r="G75" s="39">
        <v>5000</v>
      </c>
      <c r="H75" s="39">
        <v>5000</v>
      </c>
      <c r="I75" s="39">
        <v>5000</v>
      </c>
      <c r="J75" s="39">
        <f>SUM(B75:I75)</f>
        <v>40000</v>
      </c>
    </row>
    <row r="76" spans="1:12" s="39" customFormat="1" x14ac:dyDescent="0.25">
      <c r="A76" t="s">
        <v>369</v>
      </c>
      <c r="B76" s="39">
        <v>1000</v>
      </c>
      <c r="C76" s="39">
        <v>1000</v>
      </c>
      <c r="D76" s="39">
        <v>1000</v>
      </c>
      <c r="E76" s="39">
        <v>1000</v>
      </c>
      <c r="F76" s="39">
        <v>0</v>
      </c>
      <c r="G76" s="39">
        <v>0</v>
      </c>
      <c r="H76" s="39">
        <v>0</v>
      </c>
      <c r="I76" s="39">
        <v>0</v>
      </c>
      <c r="J76" s="39">
        <f>SUM(B76:I76)</f>
        <v>4000</v>
      </c>
    </row>
    <row r="77" spans="1:12" s="39" customFormat="1" x14ac:dyDescent="0.25">
      <c r="A77" t="s">
        <v>371</v>
      </c>
      <c r="B77" s="39">
        <v>1833.08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f>SUM(B77:I77)</f>
        <v>1833.08</v>
      </c>
    </row>
    <row r="78" spans="1:12" s="39" customFormat="1" x14ac:dyDescent="0.25">
      <c r="A78" t="s">
        <v>372</v>
      </c>
      <c r="B78" s="39">
        <v>-3691.03</v>
      </c>
      <c r="C78" s="39">
        <v>-3673.36</v>
      </c>
      <c r="D78" s="39">
        <v>-3655.63</v>
      </c>
      <c r="E78" s="39">
        <v>-3637.86</v>
      </c>
      <c r="F78" s="39">
        <v>-3620.04</v>
      </c>
      <c r="G78" s="39">
        <v>-3602.17</v>
      </c>
      <c r="H78" s="39">
        <v>-3584.24</v>
      </c>
      <c r="I78" s="39">
        <v>-3566.27</v>
      </c>
      <c r="J78" s="39">
        <f>SUM(B78:I78)</f>
        <v>-29030.600000000002</v>
      </c>
    </row>
    <row r="79" spans="1:12" s="39" customFormat="1" x14ac:dyDescent="0.25">
      <c r="A79" t="s">
        <v>373</v>
      </c>
      <c r="B79" s="39">
        <v>-6058.71</v>
      </c>
      <c r="C79" s="39">
        <v>-6058.71</v>
      </c>
      <c r="D79" s="39">
        <v>-6058.71</v>
      </c>
      <c r="E79" s="39">
        <v>-6058.71</v>
      </c>
      <c r="F79" s="39">
        <v>-6058.71</v>
      </c>
      <c r="G79" s="39">
        <v>-6058.71</v>
      </c>
      <c r="H79" s="39">
        <v>-6058.71</v>
      </c>
      <c r="I79" s="39">
        <v>-6058.71</v>
      </c>
      <c r="J79" s="39">
        <f>SUM(B79:I79)</f>
        <v>-48469.68</v>
      </c>
    </row>
    <row r="80" spans="1:12" x14ac:dyDescent="0.25">
      <c r="A80" s="38" t="s">
        <v>303</v>
      </c>
      <c r="B80" s="41">
        <f t="shared" ref="B80:J80" si="16">SUM(B75:B79)</f>
        <v>-1916.6600000000008</v>
      </c>
      <c r="C80" s="41">
        <f t="shared" si="16"/>
        <v>-3732.07</v>
      </c>
      <c r="D80" s="41">
        <f t="shared" si="16"/>
        <v>-3714.34</v>
      </c>
      <c r="E80" s="41">
        <f t="shared" si="16"/>
        <v>-3696.57</v>
      </c>
      <c r="F80" s="41">
        <f>SUM(F75:F79)</f>
        <v>-4678.75</v>
      </c>
      <c r="G80" s="41">
        <f t="shared" ref="G80:H80" si="17">SUM(G75:G79)</f>
        <v>-4660.88</v>
      </c>
      <c r="H80" s="41">
        <f t="shared" si="17"/>
        <v>-4642.95</v>
      </c>
      <c r="I80" s="41">
        <f t="shared" si="16"/>
        <v>-4624.9799999999996</v>
      </c>
      <c r="J80" s="41">
        <f t="shared" si="16"/>
        <v>-31667.200000000001</v>
      </c>
    </row>
    <row r="82" spans="1:11" ht="15.75" thickBot="1" x14ac:dyDescent="0.3">
      <c r="A82" s="38" t="s">
        <v>304</v>
      </c>
      <c r="B82" s="43">
        <f t="shared" ref="B82:I82" si="18">B20-B72+B80</f>
        <v>63046.079999999973</v>
      </c>
      <c r="C82" s="43">
        <f t="shared" si="18"/>
        <v>50012.599999999969</v>
      </c>
      <c r="D82" s="43">
        <f t="shared" si="18"/>
        <v>13220.929999999989</v>
      </c>
      <c r="E82" s="43">
        <f t="shared" si="18"/>
        <v>4942.919999999991</v>
      </c>
      <c r="F82" s="43">
        <f>F20-F72+F80</f>
        <v>-30308.14</v>
      </c>
      <c r="G82" s="43">
        <f t="shared" ref="G82:H82" si="19">G20-G72+G80</f>
        <v>-40141.129999999997</v>
      </c>
      <c r="H82" s="43">
        <f t="shared" si="19"/>
        <v>-42423.27</v>
      </c>
      <c r="I82" s="43">
        <f t="shared" si="18"/>
        <v>-35256.51</v>
      </c>
      <c r="J82" s="43">
        <f>J20-J72+J80</f>
        <v>-16906.519999999891</v>
      </c>
      <c r="K82"/>
    </row>
    <row r="83" spans="1:11" ht="15.75" thickTop="1" x14ac:dyDescent="0.25"/>
    <row r="84" spans="1:11" x14ac:dyDescent="0.25">
      <c r="B84" s="39">
        <v>63046.080000000002</v>
      </c>
      <c r="C84" s="39">
        <v>50012.6</v>
      </c>
      <c r="D84" s="39">
        <v>13220.93</v>
      </c>
      <c r="E84" s="39">
        <v>4942.92</v>
      </c>
      <c r="F84" s="39">
        <v>-30308.14</v>
      </c>
      <c r="G84" s="39">
        <v>-40141.129999999997</v>
      </c>
      <c r="H84" s="39">
        <v>-42423.27</v>
      </c>
      <c r="I84" s="39">
        <v>-35256.51</v>
      </c>
      <c r="J84" s="39">
        <v>-16906.52</v>
      </c>
    </row>
    <row r="85" spans="1:11" x14ac:dyDescent="0.25">
      <c r="B85" s="39">
        <f t="shared" ref="B85:J85" si="20">B82-B84</f>
        <v>0</v>
      </c>
      <c r="C85" s="39">
        <f t="shared" si="20"/>
        <v>0</v>
      </c>
      <c r="D85" s="39">
        <f t="shared" si="20"/>
        <v>0</v>
      </c>
      <c r="E85" s="39">
        <f t="shared" si="20"/>
        <v>-9.0949470177292824E-12</v>
      </c>
      <c r="F85" s="39">
        <f t="shared" si="20"/>
        <v>0</v>
      </c>
      <c r="G85" s="39">
        <f t="shared" ref="G85:H85" si="21">G82-G84</f>
        <v>0</v>
      </c>
      <c r="H85" s="39">
        <f t="shared" si="21"/>
        <v>0</v>
      </c>
      <c r="I85" s="39">
        <f t="shared" si="20"/>
        <v>0</v>
      </c>
      <c r="J85" s="39">
        <f t="shared" si="20"/>
        <v>1.0913936421275139E-10</v>
      </c>
    </row>
  </sheetData>
  <mergeCells count="3">
    <mergeCell ref="A1:J1"/>
    <mergeCell ref="A2:J2"/>
    <mergeCell ref="A3:J3"/>
  </mergeCells>
  <pageMargins left="0.7" right="0.7" top="0.75" bottom="0.75" header="0.3" footer="0.3"/>
  <pageSetup scale="55" fitToHeight="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K30"/>
  <sheetViews>
    <sheetView zoomScaleNormal="100" workbookViewId="0">
      <pane ySplit="6" topLeftCell="A7" activePane="bottomLeft" state="frozen"/>
      <selection activeCell="C24" sqref="C24"/>
      <selection pane="bottomLeft" activeCell="J31" sqref="J31"/>
    </sheetView>
  </sheetViews>
  <sheetFormatPr defaultRowHeight="15" x14ac:dyDescent="0.25"/>
  <cols>
    <col min="1" max="1" width="44.42578125" bestFit="1" customWidth="1"/>
    <col min="2" max="3" width="13" style="39" bestFit="1" customWidth="1"/>
    <col min="4" max="4" width="13.42578125" style="39" bestFit="1" customWidth="1"/>
    <col min="5" max="9" width="13" style="39" bestFit="1" customWidth="1"/>
    <col min="10" max="10" width="13.42578125" style="39" bestFit="1" customWidth="1"/>
    <col min="11" max="11" width="9.140625" style="39" customWidth="1"/>
    <col min="12" max="12" width="9.5703125" bestFit="1" customWidth="1"/>
    <col min="14" max="14" width="11.5703125" bestFit="1" customWidth="1"/>
  </cols>
  <sheetData>
    <row r="1" spans="1:10" x14ac:dyDescent="0.25">
      <c r="A1" s="269" t="s">
        <v>423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x14ac:dyDescent="0.25">
      <c r="A2" s="269" t="s">
        <v>278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x14ac:dyDescent="0.25">
      <c r="A3" s="269">
        <v>2018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5">
      <c r="B6" s="44" t="s">
        <v>305</v>
      </c>
      <c r="C6" s="44" t="s">
        <v>306</v>
      </c>
      <c r="D6" s="44" t="s">
        <v>307</v>
      </c>
      <c r="E6" s="44" t="s">
        <v>308</v>
      </c>
      <c r="F6" s="44" t="s">
        <v>384</v>
      </c>
      <c r="G6" s="44" t="s">
        <v>427</v>
      </c>
      <c r="H6" s="44" t="s">
        <v>452</v>
      </c>
      <c r="I6" s="44" t="s">
        <v>465</v>
      </c>
      <c r="J6" s="44" t="s">
        <v>208</v>
      </c>
    </row>
    <row r="8" spans="1:10" s="39" customFormat="1" x14ac:dyDescent="0.25">
      <c r="A8" s="38" t="s">
        <v>210</v>
      </c>
    </row>
    <row r="9" spans="1:10" s="39" customFormat="1" x14ac:dyDescent="0.25">
      <c r="A9" s="38" t="s">
        <v>292</v>
      </c>
    </row>
    <row r="10" spans="1:10" s="39" customFormat="1" x14ac:dyDescent="0.25">
      <c r="A10" t="s">
        <v>361</v>
      </c>
      <c r="B10" s="39">
        <v>0</v>
      </c>
      <c r="C10" s="39">
        <v>0</v>
      </c>
      <c r="D10" s="39">
        <v>0</v>
      </c>
      <c r="E10" s="39">
        <v>520</v>
      </c>
      <c r="F10" s="39">
        <v>0</v>
      </c>
      <c r="G10" s="39">
        <v>0</v>
      </c>
      <c r="H10" s="39">
        <v>0</v>
      </c>
      <c r="I10" s="39">
        <v>0</v>
      </c>
      <c r="J10" s="39">
        <f>SUM(B10:I10)</f>
        <v>520</v>
      </c>
    </row>
    <row r="11" spans="1:10" s="39" customFormat="1" x14ac:dyDescent="0.25">
      <c r="A11" t="s">
        <v>296</v>
      </c>
      <c r="B11" s="39">
        <v>9251.27</v>
      </c>
      <c r="C11" s="39">
        <v>9251.27</v>
      </c>
      <c r="D11" s="39">
        <v>9251.27</v>
      </c>
      <c r="E11" s="39">
        <v>9251.27</v>
      </c>
      <c r="F11" s="39">
        <v>9251.27</v>
      </c>
      <c r="G11" s="39">
        <v>9251.27</v>
      </c>
      <c r="H11" s="39">
        <v>9251.27</v>
      </c>
      <c r="I11" s="39">
        <v>9251.27</v>
      </c>
      <c r="J11" s="39">
        <f>SUM(B11:I11)</f>
        <v>74010.160000000018</v>
      </c>
    </row>
    <row r="12" spans="1:10" s="39" customFormat="1" x14ac:dyDescent="0.25">
      <c r="A12" s="38" t="s">
        <v>338</v>
      </c>
      <c r="B12" s="41">
        <f t="shared" ref="B12:J12" si="0">SUM(B10:B11)</f>
        <v>9251.27</v>
      </c>
      <c r="C12" s="41">
        <f t="shared" si="0"/>
        <v>9251.27</v>
      </c>
      <c r="D12" s="41">
        <f t="shared" si="0"/>
        <v>9251.27</v>
      </c>
      <c r="E12" s="41">
        <f t="shared" si="0"/>
        <v>9771.27</v>
      </c>
      <c r="F12" s="41">
        <f>SUM(F10:F11)</f>
        <v>9251.27</v>
      </c>
      <c r="G12" s="41">
        <f>SUM(G10:G11)</f>
        <v>9251.27</v>
      </c>
      <c r="H12" s="41">
        <f t="shared" ref="H12" si="1">SUM(H10:H11)</f>
        <v>9251.27</v>
      </c>
      <c r="I12" s="41">
        <f t="shared" si="0"/>
        <v>9251.27</v>
      </c>
      <c r="J12" s="41">
        <f t="shared" si="0"/>
        <v>74530.160000000018</v>
      </c>
    </row>
    <row r="14" spans="1:10" s="39" customFormat="1" x14ac:dyDescent="0.25">
      <c r="A14" s="38" t="s">
        <v>297</v>
      </c>
    </row>
    <row r="15" spans="1:10" s="39" customFormat="1" x14ac:dyDescent="0.25">
      <c r="A15" t="s">
        <v>365</v>
      </c>
      <c r="B15" s="39">
        <v>265</v>
      </c>
      <c r="C15" s="39">
        <v>265</v>
      </c>
      <c r="D15" s="39">
        <v>265</v>
      </c>
      <c r="E15" s="39">
        <v>265</v>
      </c>
      <c r="F15" s="39">
        <v>265</v>
      </c>
      <c r="G15" s="39">
        <v>265</v>
      </c>
      <c r="H15" s="39">
        <v>530</v>
      </c>
      <c r="I15" s="39">
        <v>265</v>
      </c>
      <c r="J15" s="39">
        <f>SUM(B15:I15)</f>
        <v>2385</v>
      </c>
    </row>
    <row r="16" spans="1:10" s="39" customFormat="1" x14ac:dyDescent="0.25">
      <c r="A16" s="38"/>
      <c r="B16" s="41">
        <f t="shared" ref="B16:J16" si="2">SUM(B15:B15)</f>
        <v>265</v>
      </c>
      <c r="C16" s="41">
        <f t="shared" si="2"/>
        <v>265</v>
      </c>
      <c r="D16" s="41">
        <f t="shared" si="2"/>
        <v>265</v>
      </c>
      <c r="E16" s="41">
        <f t="shared" si="2"/>
        <v>265</v>
      </c>
      <c r="F16" s="41">
        <f>SUM(F15:F15)</f>
        <v>265</v>
      </c>
      <c r="G16" s="41">
        <f>SUM(G15:G15)</f>
        <v>265</v>
      </c>
      <c r="H16" s="41">
        <f t="shared" ref="H16" si="3">SUM(H15:H15)</f>
        <v>530</v>
      </c>
      <c r="I16" s="41">
        <f t="shared" si="2"/>
        <v>265</v>
      </c>
      <c r="J16" s="41">
        <f t="shared" si="2"/>
        <v>2385</v>
      </c>
    </row>
    <row r="17" spans="1:11" s="39" customFormat="1" x14ac:dyDescent="0.25">
      <c r="A17" t="s">
        <v>247</v>
      </c>
    </row>
    <row r="18" spans="1:11" s="39" customFormat="1" ht="15.75" thickBot="1" x14ac:dyDescent="0.3">
      <c r="A18" s="38" t="s">
        <v>211</v>
      </c>
      <c r="B18" s="42">
        <f t="shared" ref="B18:J18" si="4">B12+B16</f>
        <v>9516.27</v>
      </c>
      <c r="C18" s="42">
        <f t="shared" si="4"/>
        <v>9516.27</v>
      </c>
      <c r="D18" s="42">
        <f t="shared" si="4"/>
        <v>9516.27</v>
      </c>
      <c r="E18" s="42">
        <f t="shared" si="4"/>
        <v>10036.27</v>
      </c>
      <c r="F18" s="42">
        <f>F12+F16</f>
        <v>9516.27</v>
      </c>
      <c r="G18" s="42">
        <f>G12+G16</f>
        <v>9516.27</v>
      </c>
      <c r="H18" s="42">
        <f t="shared" ref="H18" si="5">H12+H16</f>
        <v>9781.27</v>
      </c>
      <c r="I18" s="42">
        <f t="shared" si="4"/>
        <v>9516.27</v>
      </c>
      <c r="J18" s="42">
        <f t="shared" si="4"/>
        <v>76915.160000000018</v>
      </c>
    </row>
    <row r="20" spans="1:11" s="39" customFormat="1" x14ac:dyDescent="0.25">
      <c r="A20" s="38" t="s">
        <v>301</v>
      </c>
    </row>
    <row r="21" spans="1:11" s="39" customFormat="1" x14ac:dyDescent="0.25">
      <c r="A21" t="s">
        <v>370</v>
      </c>
      <c r="B21" s="39">
        <v>16700</v>
      </c>
      <c r="C21" s="39">
        <v>16700</v>
      </c>
      <c r="D21" s="39">
        <v>16700</v>
      </c>
      <c r="E21" s="39">
        <v>16700</v>
      </c>
      <c r="F21" s="39">
        <v>16700</v>
      </c>
      <c r="G21" s="39">
        <v>16700</v>
      </c>
      <c r="H21" s="39">
        <v>16700</v>
      </c>
      <c r="I21" s="39">
        <v>16700</v>
      </c>
      <c r="J21" s="39">
        <f>SUM(B21:I21)</f>
        <v>133600</v>
      </c>
    </row>
    <row r="22" spans="1:11" s="39" customFormat="1" x14ac:dyDescent="0.25">
      <c r="A22" t="s">
        <v>413</v>
      </c>
      <c r="B22" s="39">
        <v>1000</v>
      </c>
      <c r="C22" s="39">
        <v>1000</v>
      </c>
      <c r="D22" s="39">
        <v>1000</v>
      </c>
      <c r="E22" s="39">
        <v>1000</v>
      </c>
      <c r="F22" s="39">
        <v>1000</v>
      </c>
      <c r="G22" s="39">
        <v>1000</v>
      </c>
      <c r="H22" s="39">
        <v>1000</v>
      </c>
      <c r="I22" s="39">
        <v>1000</v>
      </c>
      <c r="J22" s="39">
        <f>SUM(B22:I22)</f>
        <v>8000</v>
      </c>
    </row>
    <row r="23" spans="1:11" s="39" customFormat="1" x14ac:dyDescent="0.25">
      <c r="A23" t="s">
        <v>371</v>
      </c>
      <c r="B23" s="39">
        <v>1.01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f>SUM(B23:I23)</f>
        <v>1.01</v>
      </c>
    </row>
    <row r="24" spans="1:11" s="39" customFormat="1" x14ac:dyDescent="0.25">
      <c r="A24" t="s">
        <v>272</v>
      </c>
      <c r="B24" s="39">
        <v>3691.03</v>
      </c>
      <c r="C24" s="39">
        <v>3673.36</v>
      </c>
      <c r="D24" s="39">
        <v>3655.63</v>
      </c>
      <c r="E24" s="39">
        <v>3637.86</v>
      </c>
      <c r="F24" s="39">
        <v>3620.04</v>
      </c>
      <c r="G24" s="39">
        <v>3602.17</v>
      </c>
      <c r="H24" s="39">
        <v>3584.24</v>
      </c>
      <c r="I24" s="39">
        <v>3566.27</v>
      </c>
      <c r="J24" s="39">
        <f>SUM(B24:I24)</f>
        <v>29030.600000000002</v>
      </c>
    </row>
    <row r="25" spans="1:11" s="39" customFormat="1" x14ac:dyDescent="0.25">
      <c r="A25" t="s">
        <v>273</v>
      </c>
      <c r="B25" s="39">
        <v>-860.93</v>
      </c>
      <c r="C25" s="39">
        <v>-860.93</v>
      </c>
      <c r="D25" s="39">
        <v>-860.93</v>
      </c>
      <c r="E25" s="39">
        <v>-860.93</v>
      </c>
      <c r="F25" s="39">
        <v>-860.93</v>
      </c>
      <c r="G25" s="39">
        <v>-860.93</v>
      </c>
      <c r="H25" s="39">
        <v>-860.93</v>
      </c>
      <c r="I25" s="39">
        <v>-860.93</v>
      </c>
      <c r="J25" s="39">
        <f>SUM(B25:I25)</f>
        <v>-6887.4400000000005</v>
      </c>
    </row>
    <row r="26" spans="1:11" s="39" customFormat="1" x14ac:dyDescent="0.25">
      <c r="A26" s="38" t="s">
        <v>303</v>
      </c>
      <c r="B26" s="41">
        <f t="shared" ref="B26:J26" si="6">SUM(B21:B25)</f>
        <v>20531.109999999997</v>
      </c>
      <c r="C26" s="41">
        <f t="shared" si="6"/>
        <v>20512.43</v>
      </c>
      <c r="D26" s="41">
        <f t="shared" si="6"/>
        <v>20494.7</v>
      </c>
      <c r="E26" s="41">
        <f t="shared" si="6"/>
        <v>20476.93</v>
      </c>
      <c r="F26" s="41">
        <f>SUM(F21:F25)</f>
        <v>20459.11</v>
      </c>
      <c r="G26" s="41">
        <f>SUM(G21:G25)</f>
        <v>20441.239999999998</v>
      </c>
      <c r="H26" s="41">
        <f t="shared" ref="H26" si="7">SUM(H21:H25)</f>
        <v>20423.309999999998</v>
      </c>
      <c r="I26" s="41">
        <f t="shared" si="6"/>
        <v>20405.34</v>
      </c>
      <c r="J26" s="41">
        <f t="shared" si="6"/>
        <v>163744.17000000001</v>
      </c>
    </row>
    <row r="28" spans="1:11" ht="15.75" thickBot="1" x14ac:dyDescent="0.3">
      <c r="A28" s="38" t="s">
        <v>304</v>
      </c>
      <c r="B28" s="43">
        <f>B26-B18</f>
        <v>11014.839999999997</v>
      </c>
      <c r="C28" s="43">
        <f t="shared" ref="C28:J28" si="8">C26-C18</f>
        <v>10996.16</v>
      </c>
      <c r="D28" s="43">
        <f t="shared" si="8"/>
        <v>10978.43</v>
      </c>
      <c r="E28" s="43">
        <f t="shared" si="8"/>
        <v>10440.66</v>
      </c>
      <c r="F28" s="43">
        <f>F26-F18</f>
        <v>10942.84</v>
      </c>
      <c r="G28" s="43">
        <f>G26-G18</f>
        <v>10924.969999999998</v>
      </c>
      <c r="H28" s="43">
        <f t="shared" ref="H28" si="9">H26-H18</f>
        <v>10642.039999999997</v>
      </c>
      <c r="I28" s="43">
        <f t="shared" si="8"/>
        <v>10889.07</v>
      </c>
      <c r="J28" s="43">
        <f t="shared" si="8"/>
        <v>86829.01</v>
      </c>
      <c r="K28"/>
    </row>
    <row r="29" spans="1:11" ht="15.75" thickTop="1" x14ac:dyDescent="0.25"/>
    <row r="30" spans="1:11" x14ac:dyDescent="0.25">
      <c r="J30" s="39">
        <f>J28-'Comparative YTD 2018-2017 Aug'!G119</f>
        <v>0</v>
      </c>
    </row>
  </sheetData>
  <mergeCells count="3">
    <mergeCell ref="A1:J1"/>
    <mergeCell ref="A2:J2"/>
    <mergeCell ref="A3:J3"/>
  </mergeCells>
  <pageMargins left="0.7" right="0.7" top="0.75" bottom="0.75" header="0.3" footer="0.3"/>
  <pageSetup scale="55" fitToHeight="0" orientation="portrait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K31"/>
  <sheetViews>
    <sheetView zoomScaleNormal="100" workbookViewId="0">
      <pane ySplit="6" topLeftCell="A7" activePane="bottomLeft" state="frozen"/>
      <selection activeCell="C24" sqref="C24"/>
      <selection pane="bottomLeft" activeCell="L34" sqref="L34"/>
    </sheetView>
  </sheetViews>
  <sheetFormatPr defaultRowHeight="15" x14ac:dyDescent="0.25"/>
  <cols>
    <col min="1" max="1" width="44.42578125" bestFit="1" customWidth="1"/>
    <col min="2" max="3" width="13" style="39" bestFit="1" customWidth="1"/>
    <col min="4" max="4" width="13.42578125" style="39" bestFit="1" customWidth="1"/>
    <col min="5" max="9" width="13" style="39" bestFit="1" customWidth="1"/>
    <col min="10" max="10" width="13.42578125" style="39" bestFit="1" customWidth="1"/>
    <col min="11" max="11" width="9.140625" style="39" customWidth="1"/>
    <col min="12" max="12" width="9.5703125" bestFit="1" customWidth="1"/>
    <col min="14" max="14" width="11.5703125" bestFit="1" customWidth="1"/>
  </cols>
  <sheetData>
    <row r="1" spans="1:10" x14ac:dyDescent="0.25">
      <c r="A1" s="269" t="s">
        <v>424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x14ac:dyDescent="0.25">
      <c r="A2" s="269" t="s">
        <v>278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x14ac:dyDescent="0.25">
      <c r="A3" s="269">
        <v>2018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5">
      <c r="B6" s="44" t="s">
        <v>305</v>
      </c>
      <c r="C6" s="44" t="s">
        <v>306</v>
      </c>
      <c r="D6" s="44" t="s">
        <v>307</v>
      </c>
      <c r="E6" s="44" t="s">
        <v>308</v>
      </c>
      <c r="F6" s="44" t="s">
        <v>384</v>
      </c>
      <c r="G6" s="44" t="s">
        <v>427</v>
      </c>
      <c r="H6" s="44" t="s">
        <v>452</v>
      </c>
      <c r="I6" s="44" t="s">
        <v>465</v>
      </c>
      <c r="J6" s="44" t="s">
        <v>208</v>
      </c>
    </row>
    <row r="8" spans="1:10" s="39" customFormat="1" x14ac:dyDescent="0.25">
      <c r="A8" s="38" t="s">
        <v>210</v>
      </c>
    </row>
    <row r="9" spans="1:10" s="39" customFormat="1" x14ac:dyDescent="0.25">
      <c r="A9" s="38" t="s">
        <v>292</v>
      </c>
    </row>
    <row r="10" spans="1:10" s="39" customFormat="1" x14ac:dyDescent="0.25">
      <c r="A10" t="s">
        <v>361</v>
      </c>
      <c r="B10" s="39">
        <v>0</v>
      </c>
      <c r="C10" s="39">
        <v>0</v>
      </c>
      <c r="D10" s="39">
        <v>0</v>
      </c>
      <c r="E10" s="39">
        <v>520</v>
      </c>
      <c r="F10" s="39">
        <v>0</v>
      </c>
      <c r="G10" s="39">
        <v>0</v>
      </c>
      <c r="H10" s="39">
        <v>0</v>
      </c>
      <c r="I10" s="39">
        <v>0</v>
      </c>
      <c r="J10" s="39">
        <f>SUM(B10:I10)</f>
        <v>520</v>
      </c>
    </row>
    <row r="11" spans="1:10" s="39" customFormat="1" x14ac:dyDescent="0.25">
      <c r="A11" t="s">
        <v>296</v>
      </c>
      <c r="B11" s="39">
        <v>14678.56</v>
      </c>
      <c r="C11" s="39">
        <v>14704</v>
      </c>
      <c r="D11" s="39">
        <v>14704</v>
      </c>
      <c r="E11" s="39">
        <v>14704</v>
      </c>
      <c r="F11" s="39">
        <v>14704</v>
      </c>
      <c r="G11" s="39">
        <v>14704</v>
      </c>
      <c r="H11" s="39">
        <v>14704</v>
      </c>
      <c r="I11" s="39">
        <v>14665.08</v>
      </c>
      <c r="J11" s="39">
        <f>SUM(B11:I11)</f>
        <v>117567.64</v>
      </c>
    </row>
    <row r="12" spans="1:10" s="39" customFormat="1" x14ac:dyDescent="0.25">
      <c r="A12" s="38" t="s">
        <v>338</v>
      </c>
      <c r="B12" s="41">
        <f t="shared" ref="B12:J12" si="0">SUM(B10:B11)</f>
        <v>14678.56</v>
      </c>
      <c r="C12" s="41">
        <f t="shared" si="0"/>
        <v>14704</v>
      </c>
      <c r="D12" s="41">
        <f t="shared" si="0"/>
        <v>14704</v>
      </c>
      <c r="E12" s="41">
        <f t="shared" si="0"/>
        <v>15224</v>
      </c>
      <c r="F12" s="41">
        <f>SUM(F10:F11)</f>
        <v>14704</v>
      </c>
      <c r="G12" s="41">
        <f>SUM(G10:G11)</f>
        <v>14704</v>
      </c>
      <c r="H12" s="41">
        <f t="shared" ref="H12" si="1">SUM(H10:H11)</f>
        <v>14704</v>
      </c>
      <c r="I12" s="41">
        <f t="shared" si="0"/>
        <v>14665.08</v>
      </c>
      <c r="J12" s="41">
        <f t="shared" si="0"/>
        <v>118087.64</v>
      </c>
    </row>
    <row r="14" spans="1:10" s="39" customFormat="1" x14ac:dyDescent="0.25">
      <c r="A14" s="38" t="s">
        <v>297</v>
      </c>
    </row>
    <row r="15" spans="1:10" s="39" customFormat="1" x14ac:dyDescent="0.25">
      <c r="A15" t="s">
        <v>365</v>
      </c>
    </row>
    <row r="16" spans="1:10" s="39" customFormat="1" x14ac:dyDescent="0.25">
      <c r="A16" t="s">
        <v>453</v>
      </c>
      <c r="B16" s="39">
        <v>78.37</v>
      </c>
      <c r="C16" s="39">
        <v>78.38</v>
      </c>
      <c r="D16" s="39">
        <v>84.61</v>
      </c>
      <c r="E16" s="39">
        <v>78.400000000000006</v>
      </c>
      <c r="F16" s="39">
        <v>82.39</v>
      </c>
      <c r="G16" s="39">
        <v>78.48</v>
      </c>
      <c r="H16" s="39">
        <v>80.56</v>
      </c>
      <c r="I16" s="39">
        <v>61.32</v>
      </c>
      <c r="J16" s="39">
        <f>SUM(B16:I16)</f>
        <v>622.5100000000001</v>
      </c>
    </row>
    <row r="17" spans="1:11" s="39" customFormat="1" x14ac:dyDescent="0.25">
      <c r="A17" s="38" t="s">
        <v>300</v>
      </c>
      <c r="B17" s="41">
        <f>SUM(B15:B16)</f>
        <v>78.37</v>
      </c>
      <c r="C17" s="41">
        <f t="shared" ref="C17:I17" si="2">SUM(C15:C16)</f>
        <v>78.38</v>
      </c>
      <c r="D17" s="41">
        <f t="shared" si="2"/>
        <v>84.61</v>
      </c>
      <c r="E17" s="41">
        <f t="shared" si="2"/>
        <v>78.400000000000006</v>
      </c>
      <c r="F17" s="41">
        <f>SUM(F15:F16)</f>
        <v>82.39</v>
      </c>
      <c r="G17" s="41">
        <f>SUM(G15:G16)</f>
        <v>78.48</v>
      </c>
      <c r="H17" s="41">
        <f t="shared" ref="H17" si="3">SUM(H15:H16)</f>
        <v>80.56</v>
      </c>
      <c r="I17" s="41">
        <f t="shared" si="2"/>
        <v>61.32</v>
      </c>
      <c r="J17" s="41">
        <f>SUM(J15:J16)</f>
        <v>622.5100000000001</v>
      </c>
    </row>
    <row r="18" spans="1:11" s="39" customFormat="1" x14ac:dyDescent="0.25">
      <c r="A18" t="s">
        <v>247</v>
      </c>
    </row>
    <row r="19" spans="1:11" s="39" customFormat="1" ht="15.75" thickBot="1" x14ac:dyDescent="0.3">
      <c r="A19" s="38" t="s">
        <v>211</v>
      </c>
      <c r="B19" s="42">
        <f t="shared" ref="B19:J19" si="4">B12+B17</f>
        <v>14756.93</v>
      </c>
      <c r="C19" s="42">
        <f t="shared" si="4"/>
        <v>14782.38</v>
      </c>
      <c r="D19" s="42">
        <f t="shared" si="4"/>
        <v>14788.61</v>
      </c>
      <c r="E19" s="42">
        <f t="shared" si="4"/>
        <v>15302.4</v>
      </c>
      <c r="F19" s="42">
        <f>F12+F17</f>
        <v>14786.39</v>
      </c>
      <c r="G19" s="42">
        <f>G12+G17</f>
        <v>14782.48</v>
      </c>
      <c r="H19" s="42">
        <f t="shared" ref="H19" si="5">H12+H17</f>
        <v>14784.56</v>
      </c>
      <c r="I19" s="42">
        <f t="shared" si="4"/>
        <v>14726.4</v>
      </c>
      <c r="J19" s="42">
        <f t="shared" si="4"/>
        <v>118710.15</v>
      </c>
    </row>
    <row r="21" spans="1:11" s="39" customFormat="1" x14ac:dyDescent="0.25">
      <c r="A21" s="38" t="s">
        <v>301</v>
      </c>
    </row>
    <row r="22" spans="1:11" s="39" customFormat="1" x14ac:dyDescent="0.25">
      <c r="A22" t="s">
        <v>454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25000</v>
      </c>
      <c r="I22" s="39">
        <v>25000</v>
      </c>
      <c r="J22" s="39">
        <f>SUM(B22:I22)</f>
        <v>50000</v>
      </c>
    </row>
    <row r="23" spans="1:11" s="39" customFormat="1" x14ac:dyDescent="0.25">
      <c r="A23" t="s">
        <v>455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f>SUM(B23:I23)</f>
        <v>0</v>
      </c>
    </row>
    <row r="24" spans="1:11" s="39" customFormat="1" x14ac:dyDescent="0.25">
      <c r="A24" t="s">
        <v>371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f>SUM(B24:I24)</f>
        <v>0</v>
      </c>
    </row>
    <row r="25" spans="1:11" s="39" customFormat="1" x14ac:dyDescent="0.25">
      <c r="A25" t="s">
        <v>272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f>SUM(B25:I25)</f>
        <v>0</v>
      </c>
    </row>
    <row r="26" spans="1:11" s="39" customFormat="1" x14ac:dyDescent="0.25">
      <c r="A26" t="s">
        <v>273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99">
        <f>SUM(B26:I26)</f>
        <v>0</v>
      </c>
    </row>
    <row r="27" spans="1:11" s="39" customFormat="1" x14ac:dyDescent="0.25">
      <c r="A27" s="38" t="s">
        <v>303</v>
      </c>
      <c r="B27" s="41">
        <f t="shared" ref="B27:J27" si="6">SUM(B22:B26)</f>
        <v>0</v>
      </c>
      <c r="C27" s="41">
        <f t="shared" si="6"/>
        <v>0</v>
      </c>
      <c r="D27" s="41">
        <f t="shared" si="6"/>
        <v>0</v>
      </c>
      <c r="E27" s="41">
        <f t="shared" si="6"/>
        <v>0</v>
      </c>
      <c r="F27" s="41">
        <f>SUM(F22:F26)</f>
        <v>0</v>
      </c>
      <c r="G27" s="41">
        <f>SUM(G22:G26)</f>
        <v>0</v>
      </c>
      <c r="H27" s="41">
        <f t="shared" ref="H27" si="7">SUM(H22:H26)</f>
        <v>25000</v>
      </c>
      <c r="I27" s="41">
        <f t="shared" si="6"/>
        <v>25000</v>
      </c>
      <c r="J27" s="41">
        <f t="shared" si="6"/>
        <v>50000</v>
      </c>
    </row>
    <row r="29" spans="1:11" ht="15.75" thickBot="1" x14ac:dyDescent="0.3">
      <c r="A29" s="38" t="s">
        <v>304</v>
      </c>
      <c r="B29" s="43">
        <f>B27-B19</f>
        <v>-14756.93</v>
      </c>
      <c r="C29" s="43">
        <f t="shared" ref="C29:J29" si="8">C27-C19</f>
        <v>-14782.38</v>
      </c>
      <c r="D29" s="43">
        <f t="shared" si="8"/>
        <v>-14788.61</v>
      </c>
      <c r="E29" s="43">
        <f t="shared" si="8"/>
        <v>-15302.4</v>
      </c>
      <c r="F29" s="43">
        <f>F27-F19</f>
        <v>-14786.39</v>
      </c>
      <c r="G29" s="43">
        <f>G27-G19</f>
        <v>-14782.48</v>
      </c>
      <c r="H29" s="43">
        <f t="shared" ref="H29" si="9">H27-H19</f>
        <v>10215.44</v>
      </c>
      <c r="I29" s="43">
        <f t="shared" si="8"/>
        <v>10273.6</v>
      </c>
      <c r="J29" s="43">
        <f t="shared" si="8"/>
        <v>-68710.149999999994</v>
      </c>
      <c r="K29"/>
    </row>
    <row r="30" spans="1:11" ht="15.75" thickTop="1" x14ac:dyDescent="0.25"/>
    <row r="31" spans="1:11" x14ac:dyDescent="0.25">
      <c r="J31" s="39">
        <f>J29-'Comparative YTD 2018-2017 Aug'!H119</f>
        <v>0</v>
      </c>
    </row>
  </sheetData>
  <mergeCells count="3">
    <mergeCell ref="A1:J1"/>
    <mergeCell ref="A2:J2"/>
    <mergeCell ref="A3:J3"/>
  </mergeCells>
  <pageMargins left="0.7" right="0.7" top="0.75" bottom="0.75" header="0.3" footer="0.3"/>
  <pageSetup scale="55" fitToHeight="0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Q276"/>
  <sheetViews>
    <sheetView zoomScale="110" zoomScaleNormal="110" workbookViewId="0">
      <pane xSplit="1" ySplit="4" topLeftCell="B254" activePane="bottomRight" state="frozen"/>
      <selection activeCell="C24" sqref="C24"/>
      <selection pane="topRight" activeCell="C24" sqref="C24"/>
      <selection pane="bottomLeft" activeCell="C24" sqref="C24"/>
      <selection pane="bottomRight" activeCell="E271" sqref="E271"/>
    </sheetView>
  </sheetViews>
  <sheetFormatPr defaultColWidth="9.140625" defaultRowHeight="15" x14ac:dyDescent="0.25"/>
  <cols>
    <col min="1" max="1" width="69.5703125" style="105" customWidth="1"/>
    <col min="2" max="2" width="22.42578125" style="49" customWidth="1"/>
    <col min="3" max="3" width="24" style="5" customWidth="1"/>
    <col min="4" max="4" width="24.28515625" style="5" customWidth="1"/>
    <col min="5" max="6" width="25.140625" style="5" customWidth="1"/>
    <col min="7" max="7" width="24" style="5" customWidth="1"/>
    <col min="8" max="9" width="23.42578125" style="5" customWidth="1"/>
    <col min="10" max="11" width="23" style="5" hidden="1" customWidth="1"/>
    <col min="12" max="13" width="25.5703125" style="5" hidden="1" customWidth="1"/>
    <col min="14" max="14" width="26.28515625" style="5" customWidth="1"/>
    <col min="15" max="15" width="12.5703125" style="5" bestFit="1" customWidth="1"/>
    <col min="16" max="17" width="26.28515625" style="5" hidden="1" customWidth="1"/>
    <col min="18" max="16384" width="9.140625" style="5"/>
  </cols>
  <sheetData>
    <row r="1" spans="1:17" ht="18.75" x14ac:dyDescent="0.3">
      <c r="A1" s="104" t="s">
        <v>0</v>
      </c>
    </row>
    <row r="2" spans="1:17" ht="19.5" thickBot="1" x14ac:dyDescent="0.35">
      <c r="A2" s="104"/>
    </row>
    <row r="3" spans="1:17" ht="15.75" thickBot="1" x14ac:dyDescent="0.3">
      <c r="B3" s="1">
        <v>43131</v>
      </c>
      <c r="C3" s="1">
        <v>43159</v>
      </c>
      <c r="D3" s="1">
        <v>43190</v>
      </c>
      <c r="E3" s="1">
        <v>43220</v>
      </c>
      <c r="F3" s="1">
        <v>43251</v>
      </c>
      <c r="G3" s="1">
        <v>43281</v>
      </c>
      <c r="H3" s="1">
        <v>43312</v>
      </c>
      <c r="I3" s="1">
        <v>43343</v>
      </c>
      <c r="J3" s="1">
        <v>43373</v>
      </c>
      <c r="K3" s="1">
        <v>43404</v>
      </c>
      <c r="L3" s="1">
        <v>43434</v>
      </c>
      <c r="M3" s="1">
        <v>43465</v>
      </c>
      <c r="N3" s="2" t="s">
        <v>1</v>
      </c>
      <c r="P3" s="2" t="s">
        <v>2</v>
      </c>
      <c r="Q3" s="2" t="s">
        <v>3</v>
      </c>
    </row>
    <row r="4" spans="1:17" ht="15.75" thickBot="1" x14ac:dyDescent="0.3">
      <c r="A4" s="106" t="s">
        <v>4</v>
      </c>
      <c r="P4" s="2" t="s">
        <v>5</v>
      </c>
      <c r="Q4" s="2" t="s">
        <v>6</v>
      </c>
    </row>
    <row r="5" spans="1:17" x14ac:dyDescent="0.25">
      <c r="A5" s="105" t="s">
        <v>7</v>
      </c>
      <c r="B5" s="3">
        <f t="shared" ref="B5:E6" si="0">+B104+B115</f>
        <v>154563428.67000002</v>
      </c>
      <c r="C5" s="3">
        <f t="shared" si="0"/>
        <v>109601727.78999999</v>
      </c>
      <c r="D5" s="3">
        <f>+D104+D115</f>
        <v>101069868.19</v>
      </c>
      <c r="E5" s="3">
        <f>+E104+E115</f>
        <v>92671539.059999987</v>
      </c>
      <c r="F5" s="3">
        <f>+F104+F115</f>
        <v>94258757.019999996</v>
      </c>
      <c r="G5" s="49">
        <f t="shared" ref="G5:M8" si="1">G104+G115</f>
        <v>92781088.61999999</v>
      </c>
      <c r="H5" s="49">
        <f t="shared" si="1"/>
        <v>122616849.06</v>
      </c>
      <c r="I5" s="49">
        <f t="shared" si="1"/>
        <v>126398264.86999999</v>
      </c>
      <c r="J5" s="49">
        <f t="shared" si="1"/>
        <v>0</v>
      </c>
      <c r="K5" s="49">
        <f t="shared" si="1"/>
        <v>0</v>
      </c>
      <c r="L5" s="49">
        <f t="shared" si="1"/>
        <v>0</v>
      </c>
      <c r="M5" s="49">
        <f t="shared" si="1"/>
        <v>0</v>
      </c>
      <c r="N5" s="49">
        <f t="shared" ref="N5:N10" si="2">SUM(B5:M5)</f>
        <v>893961523.28000009</v>
      </c>
      <c r="P5" s="49">
        <f t="shared" ref="P5:P70" si="3">(N5-M5)/11</f>
        <v>81269229.389090911</v>
      </c>
      <c r="Q5" s="49">
        <f t="shared" ref="Q5:Q70" si="4">M5-P5</f>
        <v>-81269229.389090911</v>
      </c>
    </row>
    <row r="6" spans="1:17" x14ac:dyDescent="0.25">
      <c r="A6" s="105" t="s">
        <v>8</v>
      </c>
      <c r="B6" s="3">
        <f t="shared" si="0"/>
        <v>424529753.21999997</v>
      </c>
      <c r="C6" s="3">
        <f t="shared" si="0"/>
        <v>1212317398.3500001</v>
      </c>
      <c r="D6" s="3">
        <f>+D105+D116</f>
        <v>305312522.13</v>
      </c>
      <c r="E6" s="3">
        <f t="shared" si="0"/>
        <v>46941731.32</v>
      </c>
      <c r="F6" s="3">
        <f>+F105+F116</f>
        <v>115060805.22</v>
      </c>
      <c r="G6" s="49">
        <f t="shared" si="1"/>
        <v>260963733.31999999</v>
      </c>
      <c r="H6" s="49">
        <f t="shared" si="1"/>
        <v>166703405.97</v>
      </c>
      <c r="I6" s="49">
        <f t="shared" si="1"/>
        <v>324765702.82999998</v>
      </c>
      <c r="J6" s="49">
        <f t="shared" si="1"/>
        <v>0</v>
      </c>
      <c r="K6" s="49">
        <f t="shared" si="1"/>
        <v>0</v>
      </c>
      <c r="L6" s="49">
        <f t="shared" si="1"/>
        <v>0</v>
      </c>
      <c r="M6" s="49">
        <f t="shared" si="1"/>
        <v>0</v>
      </c>
      <c r="N6" s="49">
        <f t="shared" si="2"/>
        <v>2856595052.3600001</v>
      </c>
      <c r="P6" s="49">
        <f t="shared" si="3"/>
        <v>259690459.30545455</v>
      </c>
      <c r="Q6" s="49">
        <f t="shared" si="4"/>
        <v>-259690459.30545455</v>
      </c>
    </row>
    <row r="7" spans="1:17" x14ac:dyDescent="0.25">
      <c r="A7" s="105" t="s">
        <v>9</v>
      </c>
      <c r="B7" s="3">
        <f>B106+B117</f>
        <v>2884704.37</v>
      </c>
      <c r="C7" s="3">
        <f>C106+C117</f>
        <v>2596535.7200000002</v>
      </c>
      <c r="D7" s="3">
        <f>D106+D117</f>
        <v>622399.88</v>
      </c>
      <c r="E7" s="3">
        <f>E106+E117</f>
        <v>1945746.84</v>
      </c>
      <c r="F7" s="3">
        <f>F106+F117</f>
        <v>1927944.8</v>
      </c>
      <c r="G7" s="49">
        <f t="shared" si="1"/>
        <v>474866.98</v>
      </c>
      <c r="H7" s="49">
        <f t="shared" si="1"/>
        <v>1059505.05</v>
      </c>
      <c r="I7" s="49">
        <f t="shared" si="1"/>
        <v>1450642.34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  <c r="N7" s="49">
        <f t="shared" si="2"/>
        <v>12962345.98</v>
      </c>
      <c r="P7" s="49">
        <f t="shared" si="3"/>
        <v>1178395.0890909091</v>
      </c>
      <c r="Q7" s="49">
        <f t="shared" si="4"/>
        <v>-1178395.0890909091</v>
      </c>
    </row>
    <row r="8" spans="1:17" x14ac:dyDescent="0.25">
      <c r="A8" s="105" t="s">
        <v>10</v>
      </c>
      <c r="B8" s="3">
        <f>+B107</f>
        <v>3238349</v>
      </c>
      <c r="C8" s="3">
        <f>+C107</f>
        <v>1478660.42</v>
      </c>
      <c r="D8" s="3">
        <f>+D107+D118</f>
        <v>1427673</v>
      </c>
      <c r="E8" s="3">
        <f>+E107</f>
        <v>2167697.4500000002</v>
      </c>
      <c r="F8" s="3">
        <f>+F107</f>
        <v>847867.6</v>
      </c>
      <c r="G8" s="4">
        <f t="shared" si="1"/>
        <v>784960.5</v>
      </c>
      <c r="H8" s="4">
        <f t="shared" si="1"/>
        <v>518684.94</v>
      </c>
      <c r="I8" s="4">
        <f t="shared" si="1"/>
        <v>749745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9">
        <f t="shared" si="2"/>
        <v>11213637.91</v>
      </c>
      <c r="P8" s="49">
        <f t="shared" si="3"/>
        <v>1019421.6281818182</v>
      </c>
      <c r="Q8" s="49">
        <f t="shared" si="4"/>
        <v>-1019421.6281818182</v>
      </c>
    </row>
    <row r="9" spans="1:17" x14ac:dyDescent="0.25">
      <c r="A9" s="105" t="s">
        <v>11</v>
      </c>
      <c r="B9" s="3">
        <f t="shared" ref="B9:M9" si="5">+B111+B121</f>
        <v>85825</v>
      </c>
      <c r="C9" s="3">
        <f t="shared" si="5"/>
        <v>579872.5</v>
      </c>
      <c r="D9" s="3">
        <f t="shared" si="5"/>
        <v>108078.75</v>
      </c>
      <c r="E9" s="3">
        <f t="shared" si="5"/>
        <v>903549.14</v>
      </c>
      <c r="F9" s="3">
        <f t="shared" si="5"/>
        <v>310999.59999999998</v>
      </c>
      <c r="G9" s="3">
        <f t="shared" si="5"/>
        <v>1246220.98</v>
      </c>
      <c r="H9" s="3">
        <f t="shared" si="5"/>
        <v>454175</v>
      </c>
      <c r="I9" s="3">
        <f t="shared" si="5"/>
        <v>875445</v>
      </c>
      <c r="J9" s="3">
        <f t="shared" si="5"/>
        <v>0</v>
      </c>
      <c r="K9" s="3">
        <f t="shared" si="5"/>
        <v>0</v>
      </c>
      <c r="L9" s="3">
        <f t="shared" si="5"/>
        <v>0</v>
      </c>
      <c r="M9" s="3">
        <f t="shared" si="5"/>
        <v>0</v>
      </c>
      <c r="N9" s="49">
        <f t="shared" si="2"/>
        <v>4564165.9700000007</v>
      </c>
      <c r="P9" s="49">
        <f t="shared" si="3"/>
        <v>414924.17909090914</v>
      </c>
      <c r="Q9" s="49">
        <f t="shared" si="4"/>
        <v>-414924.17909090914</v>
      </c>
    </row>
    <row r="10" spans="1:17" x14ac:dyDescent="0.25">
      <c r="A10" s="105" t="s">
        <v>12</v>
      </c>
      <c r="B10" s="3"/>
      <c r="C10" s="3"/>
      <c r="D10" s="3"/>
      <c r="E10" s="3">
        <f>E122+E124</f>
        <v>292312.5</v>
      </c>
      <c r="F10" s="3">
        <f>F122+F124</f>
        <v>0</v>
      </c>
      <c r="G10" s="3">
        <f>G122+G124</f>
        <v>1845</v>
      </c>
      <c r="H10" s="3">
        <f>H122+H124</f>
        <v>161476.78</v>
      </c>
      <c r="I10" s="3">
        <f>I122+I124+I125+I123</f>
        <v>138951.82999999999</v>
      </c>
      <c r="J10" s="3">
        <f>J122+J124</f>
        <v>0</v>
      </c>
      <c r="K10" s="3">
        <f>K122+K124</f>
        <v>0</v>
      </c>
      <c r="L10" s="3">
        <f>L122+L124</f>
        <v>0</v>
      </c>
      <c r="M10" s="3">
        <f>M122+M124</f>
        <v>0</v>
      </c>
      <c r="N10" s="49">
        <f t="shared" si="2"/>
        <v>594586.11</v>
      </c>
      <c r="P10" s="49"/>
      <c r="Q10" s="49"/>
    </row>
    <row r="11" spans="1:17" x14ac:dyDescent="0.25">
      <c r="B11" s="6">
        <f>SUM(B5:B10)</f>
        <v>585302060.25999999</v>
      </c>
      <c r="C11" s="6">
        <f>SUM(C5:C10)</f>
        <v>1326574194.7800002</v>
      </c>
      <c r="D11" s="6">
        <f>SUM(D5:D10)</f>
        <v>408540541.94999999</v>
      </c>
      <c r="E11" s="7">
        <f>SUM(E5:E10)</f>
        <v>144922576.30999997</v>
      </c>
      <c r="F11" s="7">
        <f t="shared" ref="F11:M11" si="6">SUM(F5:F10)</f>
        <v>212406374.24000001</v>
      </c>
      <c r="G11" s="7">
        <f t="shared" si="6"/>
        <v>356252715.40000004</v>
      </c>
      <c r="H11" s="7">
        <f>SUM(H5:H10)</f>
        <v>291514096.79999995</v>
      </c>
      <c r="I11" s="7">
        <f>SUM(I5:I10)</f>
        <v>454378751.86999995</v>
      </c>
      <c r="J11" s="7">
        <f t="shared" si="6"/>
        <v>0</v>
      </c>
      <c r="K11" s="7">
        <f t="shared" si="6"/>
        <v>0</v>
      </c>
      <c r="L11" s="7">
        <f t="shared" si="6"/>
        <v>0</v>
      </c>
      <c r="M11" s="7">
        <f t="shared" si="6"/>
        <v>0</v>
      </c>
      <c r="N11" s="6">
        <f>SUM(N5:N10)</f>
        <v>3779891311.6100001</v>
      </c>
      <c r="P11" s="6">
        <f t="shared" si="3"/>
        <v>343626482.87363636</v>
      </c>
      <c r="Q11" s="6">
        <f t="shared" si="4"/>
        <v>-343626482.87363636</v>
      </c>
    </row>
    <row r="12" spans="1:17" x14ac:dyDescent="0.25"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P12" s="5">
        <f t="shared" si="3"/>
        <v>0</v>
      </c>
      <c r="Q12" s="5">
        <f t="shared" si="4"/>
        <v>0</v>
      </c>
    </row>
    <row r="13" spans="1:17" x14ac:dyDescent="0.25">
      <c r="A13" s="106" t="s">
        <v>13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P13" s="5">
        <f t="shared" si="3"/>
        <v>0</v>
      </c>
      <c r="Q13" s="5">
        <f t="shared" si="4"/>
        <v>0</v>
      </c>
    </row>
    <row r="14" spans="1:17" x14ac:dyDescent="0.25">
      <c r="A14" s="105" t="s">
        <v>14</v>
      </c>
      <c r="B14" s="3">
        <f t="shared" ref="B14:F17" si="7">+B130+B155+B162</f>
        <v>157842383.69</v>
      </c>
      <c r="C14" s="3">
        <f t="shared" si="7"/>
        <v>108846154.46000001</v>
      </c>
      <c r="D14" s="3">
        <f t="shared" si="7"/>
        <v>100906197.60999998</v>
      </c>
      <c r="E14" s="3">
        <f t="shared" si="7"/>
        <v>92373678.780000001</v>
      </c>
      <c r="F14" s="3">
        <f t="shared" si="7"/>
        <v>94255718.569999993</v>
      </c>
      <c r="G14" s="3">
        <f>G130+G155+G162</f>
        <v>92265888.5</v>
      </c>
      <c r="H14" s="3">
        <f t="shared" ref="H14:I17" si="8">H130+H155+H162</f>
        <v>124048206.41999999</v>
      </c>
      <c r="I14" s="3">
        <f t="shared" si="8"/>
        <v>127634931.13</v>
      </c>
      <c r="J14" s="49">
        <f t="shared" ref="J14:M17" si="9">J130+J155+J162</f>
        <v>0</v>
      </c>
      <c r="K14" s="49">
        <f t="shared" si="9"/>
        <v>0</v>
      </c>
      <c r="L14" s="49">
        <f t="shared" si="9"/>
        <v>0</v>
      </c>
      <c r="M14" s="49">
        <f t="shared" si="9"/>
        <v>0</v>
      </c>
      <c r="N14" s="49">
        <f t="shared" ref="N14:N20" si="10">SUM(B14:M14)</f>
        <v>898173159.15999985</v>
      </c>
      <c r="P14" s="49">
        <f t="shared" si="3"/>
        <v>81652105.3781818</v>
      </c>
      <c r="Q14" s="49">
        <f t="shared" si="4"/>
        <v>-81652105.3781818</v>
      </c>
    </row>
    <row r="15" spans="1:17" x14ac:dyDescent="0.25">
      <c r="A15" s="105" t="s">
        <v>15</v>
      </c>
      <c r="B15" s="3">
        <f t="shared" si="7"/>
        <v>422465521.94999993</v>
      </c>
      <c r="C15" s="3">
        <f t="shared" si="7"/>
        <v>1215546261.6300001</v>
      </c>
      <c r="D15" s="3">
        <f t="shared" si="7"/>
        <v>305678068.99000001</v>
      </c>
      <c r="E15" s="3">
        <f t="shared" si="7"/>
        <v>48482029.219999999</v>
      </c>
      <c r="F15" s="3">
        <f t="shared" si="7"/>
        <v>116507251.69</v>
      </c>
      <c r="G15" s="3">
        <f>G131+G156+G163</f>
        <v>262380283.97</v>
      </c>
      <c r="H15" s="3">
        <f t="shared" ref="H15" si="11">H131+H156+H163</f>
        <v>169287706.25999999</v>
      </c>
      <c r="I15" s="3">
        <f t="shared" si="8"/>
        <v>327625512.15999997</v>
      </c>
      <c r="J15" s="49">
        <f t="shared" si="9"/>
        <v>0</v>
      </c>
      <c r="K15" s="49">
        <f t="shared" si="9"/>
        <v>0</v>
      </c>
      <c r="L15" s="49">
        <f t="shared" si="9"/>
        <v>0</v>
      </c>
      <c r="M15" s="49">
        <f t="shared" si="9"/>
        <v>0</v>
      </c>
      <c r="N15" s="49">
        <f t="shared" si="10"/>
        <v>2867972635.8699999</v>
      </c>
      <c r="P15" s="49">
        <f t="shared" si="3"/>
        <v>260724785.07909089</v>
      </c>
      <c r="Q15" s="49">
        <f t="shared" si="4"/>
        <v>-260724785.07909089</v>
      </c>
    </row>
    <row r="16" spans="1:17" x14ac:dyDescent="0.25">
      <c r="B16" s="3">
        <f t="shared" si="7"/>
        <v>2842624.1900000004</v>
      </c>
      <c r="C16" s="3">
        <f t="shared" si="7"/>
        <v>2535222.7399999998</v>
      </c>
      <c r="D16" s="3">
        <f t="shared" si="7"/>
        <v>618326.57000000007</v>
      </c>
      <c r="E16" s="3">
        <f t="shared" si="7"/>
        <v>1945380.79</v>
      </c>
      <c r="F16" s="3">
        <f t="shared" si="7"/>
        <v>2008835.22</v>
      </c>
      <c r="G16" s="3">
        <f>G132+G157+G164</f>
        <v>484708.1</v>
      </c>
      <c r="H16" s="3">
        <f t="shared" ref="H16" si="12">H132+H157+H164</f>
        <v>1046932.3900000002</v>
      </c>
      <c r="I16" s="3">
        <f t="shared" si="8"/>
        <v>1505536.0799999998</v>
      </c>
      <c r="J16" s="49">
        <f t="shared" si="9"/>
        <v>0</v>
      </c>
      <c r="K16" s="49">
        <f t="shared" si="9"/>
        <v>0</v>
      </c>
      <c r="L16" s="49">
        <f t="shared" si="9"/>
        <v>0</v>
      </c>
      <c r="M16" s="49">
        <f t="shared" si="9"/>
        <v>0</v>
      </c>
      <c r="N16" s="49">
        <f t="shared" si="10"/>
        <v>12987566.08</v>
      </c>
      <c r="P16" s="49">
        <f t="shared" si="3"/>
        <v>1180687.8254545454</v>
      </c>
      <c r="Q16" s="49">
        <f t="shared" si="4"/>
        <v>-1180687.8254545454</v>
      </c>
    </row>
    <row r="17" spans="1:17" x14ac:dyDescent="0.25">
      <c r="A17" s="105" t="s">
        <v>16</v>
      </c>
      <c r="B17" s="3">
        <f t="shared" si="7"/>
        <v>3972878.5</v>
      </c>
      <c r="C17" s="3">
        <f t="shared" si="7"/>
        <v>1516251.86</v>
      </c>
      <c r="D17" s="3">
        <f t="shared" si="7"/>
        <v>1446310.3</v>
      </c>
      <c r="E17" s="3">
        <f t="shared" si="7"/>
        <v>2111524.9700000002</v>
      </c>
      <c r="F17" s="3">
        <f t="shared" si="7"/>
        <v>836505.07000000007</v>
      </c>
      <c r="G17" s="3">
        <f>G133+G158+G165</f>
        <v>759607.35</v>
      </c>
      <c r="H17" s="3">
        <f t="shared" ref="H17" si="13">H133+H158+H165</f>
        <v>470878.57</v>
      </c>
      <c r="I17" s="3">
        <f t="shared" si="8"/>
        <v>769499.35</v>
      </c>
      <c r="J17" s="49">
        <f t="shared" si="9"/>
        <v>0</v>
      </c>
      <c r="K17" s="49">
        <f t="shared" si="9"/>
        <v>0</v>
      </c>
      <c r="L17" s="49">
        <f t="shared" si="9"/>
        <v>0</v>
      </c>
      <c r="M17" s="49">
        <f t="shared" si="9"/>
        <v>0</v>
      </c>
      <c r="N17" s="49">
        <f t="shared" si="10"/>
        <v>11883455.970000001</v>
      </c>
      <c r="P17" s="49">
        <f t="shared" si="3"/>
        <v>1080314.1790909092</v>
      </c>
      <c r="Q17" s="49">
        <f t="shared" si="4"/>
        <v>-1080314.1790909092</v>
      </c>
    </row>
    <row r="18" spans="1:17" x14ac:dyDescent="0.25">
      <c r="A18" s="105" t="s">
        <v>17</v>
      </c>
      <c r="B18" s="3">
        <f>+B136+B171</f>
        <v>103200.43</v>
      </c>
      <c r="C18" s="3">
        <f>+C136+C171</f>
        <v>557565.63</v>
      </c>
      <c r="D18" s="3">
        <f>+D136+D171</f>
        <v>104546.19</v>
      </c>
      <c r="E18" s="3">
        <f>+E136+E171</f>
        <v>891459.31</v>
      </c>
      <c r="F18" s="3">
        <f>+F136+F171</f>
        <v>468362.63</v>
      </c>
      <c r="G18" s="3">
        <f>G136+G171+G160</f>
        <v>1064241.21</v>
      </c>
      <c r="H18" s="3">
        <f>H136+H171+H160</f>
        <v>433922.20999999996</v>
      </c>
      <c r="I18" s="3">
        <f>I136+I171+I160</f>
        <v>851173.99</v>
      </c>
      <c r="J18" s="49">
        <f>J136+J171</f>
        <v>0</v>
      </c>
      <c r="K18" s="49">
        <f>K136+K171</f>
        <v>0</v>
      </c>
      <c r="L18" s="49">
        <f>L136+L171</f>
        <v>0</v>
      </c>
      <c r="M18" s="49">
        <f>M136+M171</f>
        <v>0</v>
      </c>
      <c r="N18" s="49">
        <f t="shared" si="10"/>
        <v>4474471.5999999996</v>
      </c>
      <c r="P18" s="49">
        <f t="shared" si="3"/>
        <v>406770.14545454545</v>
      </c>
      <c r="Q18" s="49">
        <f t="shared" si="4"/>
        <v>-406770.14545454545</v>
      </c>
    </row>
    <row r="19" spans="1:17" x14ac:dyDescent="0.25">
      <c r="A19" s="105" t="s">
        <v>405</v>
      </c>
      <c r="B19" s="3"/>
      <c r="C19" s="3"/>
      <c r="D19" s="3"/>
      <c r="E19" s="3"/>
      <c r="F19" s="3">
        <f>F134</f>
        <v>72</v>
      </c>
      <c r="G19" s="3"/>
      <c r="H19" s="3">
        <f>H134+H178</f>
        <v>0</v>
      </c>
      <c r="I19" s="3">
        <f>I134+I178</f>
        <v>0</v>
      </c>
      <c r="J19" s="49"/>
      <c r="K19" s="49"/>
      <c r="L19" s="49"/>
      <c r="M19" s="49"/>
      <c r="N19" s="49">
        <f t="shared" si="10"/>
        <v>72</v>
      </c>
      <c r="P19" s="49"/>
      <c r="Q19" s="49"/>
    </row>
    <row r="20" spans="1:17" x14ac:dyDescent="0.25">
      <c r="A20" s="105" t="s">
        <v>12</v>
      </c>
      <c r="B20" s="3"/>
      <c r="C20" s="3"/>
      <c r="D20" s="3"/>
      <c r="E20" s="3">
        <f>E182+E184</f>
        <v>180989.71000000002</v>
      </c>
      <c r="F20" s="3">
        <f>F182+F184</f>
        <v>-0.02</v>
      </c>
      <c r="G20" s="3">
        <f>G182+G184+G188+G187</f>
        <v>1208.02</v>
      </c>
      <c r="H20" s="3">
        <f>H182+H184+H188+H187+H189</f>
        <v>165633.65</v>
      </c>
      <c r="I20" s="3">
        <f>I182+I184+I188+I187+I189+I183+I186</f>
        <v>148231.46</v>
      </c>
      <c r="J20" s="3">
        <f>J182+J184</f>
        <v>0</v>
      </c>
      <c r="K20" s="3">
        <f>K182+K184</f>
        <v>0</v>
      </c>
      <c r="L20" s="3">
        <f>L182+L184</f>
        <v>0</v>
      </c>
      <c r="M20" s="3">
        <f>M182+M184</f>
        <v>0</v>
      </c>
      <c r="N20" s="49">
        <f t="shared" si="10"/>
        <v>496062.81999999995</v>
      </c>
      <c r="P20" s="49"/>
      <c r="Q20" s="49"/>
    </row>
    <row r="21" spans="1:17" x14ac:dyDescent="0.25">
      <c r="C21" s="49"/>
      <c r="D21" s="49"/>
      <c r="E21" s="8"/>
      <c r="F21" s="8"/>
      <c r="G21" s="8"/>
      <c r="H21" s="49"/>
      <c r="I21" s="49"/>
      <c r="J21" s="49"/>
      <c r="K21" s="49"/>
      <c r="L21" s="49"/>
      <c r="M21" s="49"/>
      <c r="N21" s="9"/>
      <c r="P21" s="9">
        <f t="shared" si="3"/>
        <v>0</v>
      </c>
      <c r="Q21" s="9">
        <f t="shared" si="4"/>
        <v>0</v>
      </c>
    </row>
    <row r="22" spans="1:17" x14ac:dyDescent="0.25">
      <c r="A22" s="105" t="s">
        <v>18</v>
      </c>
      <c r="B22" s="3">
        <f>B151+B146</f>
        <v>-4303584.0399999917</v>
      </c>
      <c r="C22" s="3">
        <f>C151+C146</f>
        <v>-230168.78000000119</v>
      </c>
      <c r="D22" s="3">
        <f>D151+D146</f>
        <v>-102046.03999999166</v>
      </c>
      <c r="E22" s="11">
        <f>E151+E146</f>
        <v>14781.879999995232</v>
      </c>
      <c r="F22" s="11">
        <f>F151+F146</f>
        <v>98279.520000003278</v>
      </c>
      <c r="G22" s="11">
        <f>G146+G151</f>
        <v>426672.62000000477</v>
      </c>
      <c r="H22" s="11">
        <f t="shared" ref="H22:I22" si="14">H146+H151</f>
        <v>293118.11000001431</v>
      </c>
      <c r="I22" s="11">
        <f t="shared" si="14"/>
        <v>327964.43000000715</v>
      </c>
      <c r="J22" s="49">
        <f>J146+J151</f>
        <v>0</v>
      </c>
      <c r="K22" s="49">
        <f>K146+K151</f>
        <v>0</v>
      </c>
      <c r="L22" s="49">
        <f>L146+L151</f>
        <v>0</v>
      </c>
      <c r="M22" s="49">
        <f>M146+M151</f>
        <v>0</v>
      </c>
      <c r="N22" s="49">
        <f>SUM(B22:M22)</f>
        <v>-3474982.2999999598</v>
      </c>
      <c r="P22" s="49">
        <f t="shared" si="3"/>
        <v>-315907.48181817814</v>
      </c>
      <c r="Q22" s="49">
        <f t="shared" si="4"/>
        <v>315907.48181817814</v>
      </c>
    </row>
    <row r="23" spans="1:17" x14ac:dyDescent="0.25">
      <c r="A23" s="105" t="s">
        <v>19</v>
      </c>
      <c r="B23" s="3">
        <f t="shared" ref="B23:G23" si="15">B152+B159</f>
        <v>-198311.54999999702</v>
      </c>
      <c r="C23" s="3">
        <f t="shared" si="15"/>
        <v>-141071.81000000052</v>
      </c>
      <c r="D23" s="3">
        <f t="shared" si="15"/>
        <v>73914.890000000596</v>
      </c>
      <c r="E23" s="3">
        <f t="shared" si="15"/>
        <v>442679.44999998808</v>
      </c>
      <c r="F23" s="3">
        <f t="shared" si="15"/>
        <v>682167.71000003815</v>
      </c>
      <c r="G23" s="3">
        <f t="shared" si="15"/>
        <v>1346835.4100000858</v>
      </c>
      <c r="H23" s="3">
        <f t="shared" ref="H23:I23" si="16">H152+H159</f>
        <v>4496541.1600000262</v>
      </c>
      <c r="I23" s="3">
        <f t="shared" si="16"/>
        <v>161672.65999996662</v>
      </c>
      <c r="J23" s="49">
        <f>J152+J159</f>
        <v>0</v>
      </c>
      <c r="K23" s="49">
        <f>K152+K159</f>
        <v>0</v>
      </c>
      <c r="L23" s="49">
        <f>L152+L159</f>
        <v>0</v>
      </c>
      <c r="M23" s="49">
        <f>M152+M159</f>
        <v>0</v>
      </c>
      <c r="N23" s="49">
        <f>SUM(B23:M23)</f>
        <v>6864427.920000108</v>
      </c>
      <c r="P23" s="49">
        <f t="shared" si="3"/>
        <v>624038.90181819163</v>
      </c>
      <c r="Q23" s="49">
        <f t="shared" si="4"/>
        <v>-624038.90181819163</v>
      </c>
    </row>
    <row r="24" spans="1:17" x14ac:dyDescent="0.25">
      <c r="A24" s="105" t="s">
        <v>20</v>
      </c>
      <c r="B24" s="3">
        <f t="shared" ref="B24:G24" si="17">B153+B161</f>
        <v>-28077.910000000033</v>
      </c>
      <c r="C24" s="3">
        <f t="shared" si="17"/>
        <v>-41342.620000000112</v>
      </c>
      <c r="D24" s="3">
        <f t="shared" si="17"/>
        <v>-28127.939999999944</v>
      </c>
      <c r="E24" s="10">
        <f t="shared" si="17"/>
        <v>1048.5499999999884</v>
      </c>
      <c r="F24" s="10">
        <f t="shared" si="17"/>
        <v>13526.869999999995</v>
      </c>
      <c r="G24" s="10">
        <f t="shared" si="17"/>
        <v>28752.459999999963</v>
      </c>
      <c r="H24" s="10">
        <f t="shared" ref="H24:I24" si="18">H153+H161</f>
        <v>-16145.679999999993</v>
      </c>
      <c r="I24" s="10">
        <f t="shared" si="18"/>
        <v>-6336.4200000000419</v>
      </c>
      <c r="J24" s="49">
        <f>J153+J161</f>
        <v>0</v>
      </c>
      <c r="K24" s="49">
        <f>K153+K161</f>
        <v>0</v>
      </c>
      <c r="L24" s="49">
        <f>L153+L161</f>
        <v>0</v>
      </c>
      <c r="M24" s="49">
        <f>M153+M161</f>
        <v>0</v>
      </c>
      <c r="N24" s="49">
        <f>SUM(B24:M24)</f>
        <v>-76702.690000000177</v>
      </c>
      <c r="P24" s="49">
        <f t="shared" si="3"/>
        <v>-6972.9718181818344</v>
      </c>
      <c r="Q24" s="49">
        <f t="shared" si="4"/>
        <v>6972.9718181818344</v>
      </c>
    </row>
    <row r="25" spans="1:17" x14ac:dyDescent="0.25">
      <c r="A25" s="105" t="s">
        <v>21</v>
      </c>
      <c r="B25" s="3">
        <f t="shared" ref="B25:G25" si="19">B154+B166</f>
        <v>-17915.510000000009</v>
      </c>
      <c r="C25" s="3">
        <f t="shared" si="19"/>
        <v>0</v>
      </c>
      <c r="D25" s="3">
        <f t="shared" si="19"/>
        <v>-35497.39</v>
      </c>
      <c r="E25" s="10">
        <f t="shared" si="19"/>
        <v>2061.8000000000466</v>
      </c>
      <c r="F25" s="10">
        <f t="shared" si="19"/>
        <v>0</v>
      </c>
      <c r="G25" s="10">
        <f t="shared" si="19"/>
        <v>0</v>
      </c>
      <c r="H25" s="10">
        <f t="shared" ref="H25:I25" si="20">H154+H166</f>
        <v>-19969.050000000003</v>
      </c>
      <c r="I25" s="10">
        <f t="shared" si="20"/>
        <v>18581.950000000012</v>
      </c>
      <c r="J25" s="49">
        <f>J154+J166</f>
        <v>0</v>
      </c>
      <c r="K25" s="49">
        <f>K154+K166</f>
        <v>0</v>
      </c>
      <c r="L25" s="49">
        <f>L154+L166</f>
        <v>0</v>
      </c>
      <c r="M25" s="49">
        <f>M154+M166</f>
        <v>0</v>
      </c>
      <c r="N25" s="49">
        <f>SUM(B25:M25)</f>
        <v>-52738.199999999953</v>
      </c>
      <c r="P25" s="49">
        <f t="shared" si="3"/>
        <v>-4794.3818181818142</v>
      </c>
      <c r="Q25" s="49">
        <f t="shared" si="4"/>
        <v>4794.3818181818142</v>
      </c>
    </row>
    <row r="26" spans="1:17" x14ac:dyDescent="0.25">
      <c r="C26" s="49"/>
      <c r="D26" s="49"/>
      <c r="E26" s="8"/>
      <c r="F26" s="8"/>
      <c r="G26" s="8"/>
      <c r="H26" s="49"/>
      <c r="I26" s="49"/>
      <c r="J26" s="49"/>
      <c r="K26" s="49"/>
      <c r="L26" s="49"/>
      <c r="M26" s="49"/>
      <c r="N26" s="9"/>
      <c r="P26" s="9">
        <f t="shared" si="3"/>
        <v>0</v>
      </c>
      <c r="Q26" s="9">
        <f t="shared" si="4"/>
        <v>0</v>
      </c>
    </row>
    <row r="27" spans="1:17" x14ac:dyDescent="0.25">
      <c r="A27" s="105" t="s">
        <v>22</v>
      </c>
      <c r="B27" s="3">
        <f t="shared" ref="B27:G28" si="21">B142+B147</f>
        <v>-1451390.0700000077</v>
      </c>
      <c r="C27" s="3">
        <f t="shared" si="21"/>
        <v>-14017.5</v>
      </c>
      <c r="D27" s="3">
        <f t="shared" si="21"/>
        <v>-649600</v>
      </c>
      <c r="E27" s="3">
        <f t="shared" si="21"/>
        <v>339010</v>
      </c>
      <c r="F27" s="3">
        <f t="shared" si="21"/>
        <v>92680</v>
      </c>
      <c r="G27" s="3">
        <f t="shared" si="21"/>
        <v>525780</v>
      </c>
      <c r="H27" s="3">
        <f t="shared" ref="H27:I27" si="22">H142+H147</f>
        <v>464420</v>
      </c>
      <c r="I27" s="3">
        <f t="shared" si="22"/>
        <v>390490</v>
      </c>
      <c r="J27" s="49">
        <f t="shared" ref="J27:M28" si="23">J142+J147</f>
        <v>0</v>
      </c>
      <c r="K27" s="49">
        <f t="shared" si="23"/>
        <v>0</v>
      </c>
      <c r="L27" s="49">
        <f t="shared" si="23"/>
        <v>0</v>
      </c>
      <c r="M27" s="49">
        <f t="shared" si="23"/>
        <v>0</v>
      </c>
      <c r="N27" s="49">
        <f>SUM(B27:M27)</f>
        <v>-302627.57000000775</v>
      </c>
      <c r="P27" s="49">
        <f t="shared" si="3"/>
        <v>-27511.597272727977</v>
      </c>
      <c r="Q27" s="49">
        <f t="shared" si="4"/>
        <v>27511.597272727977</v>
      </c>
    </row>
    <row r="28" spans="1:17" x14ac:dyDescent="0.25">
      <c r="A28" s="105" t="s">
        <v>23</v>
      </c>
      <c r="B28" s="3">
        <f t="shared" si="21"/>
        <v>287951.64999999851</v>
      </c>
      <c r="C28" s="3">
        <f t="shared" si="21"/>
        <v>-4461877.3100000024</v>
      </c>
      <c r="D28" s="3">
        <f t="shared" si="21"/>
        <v>67555.530000001192</v>
      </c>
      <c r="E28" s="10">
        <f t="shared" si="21"/>
        <v>-3414426</v>
      </c>
      <c r="F28" s="10">
        <f t="shared" si="21"/>
        <v>-28165.459999993443</v>
      </c>
      <c r="G28" s="10">
        <f t="shared" si="21"/>
        <v>-6775542</v>
      </c>
      <c r="H28" s="10">
        <f t="shared" ref="H28" si="24">H143+H148</f>
        <v>-2610952</v>
      </c>
      <c r="I28" s="10">
        <f>I143+I148</f>
        <v>-4106876</v>
      </c>
      <c r="J28" s="49">
        <f t="shared" si="23"/>
        <v>0</v>
      </c>
      <c r="K28" s="49">
        <f t="shared" si="23"/>
        <v>0</v>
      </c>
      <c r="L28" s="49">
        <f t="shared" si="23"/>
        <v>0</v>
      </c>
      <c r="M28" s="49">
        <f t="shared" si="23"/>
        <v>0</v>
      </c>
      <c r="N28" s="49">
        <f>SUM(B28:M28)</f>
        <v>-21042331.589999996</v>
      </c>
      <c r="P28" s="49">
        <f t="shared" si="3"/>
        <v>-1912939.2354545451</v>
      </c>
      <c r="Q28" s="49">
        <f t="shared" si="4"/>
        <v>1912939.2354545451</v>
      </c>
    </row>
    <row r="29" spans="1:17" x14ac:dyDescent="0.25">
      <c r="A29" s="105" t="s">
        <v>24</v>
      </c>
      <c r="B29" s="3">
        <f>B144+B149</f>
        <v>0</v>
      </c>
      <c r="C29" s="3">
        <f>C144+C149</f>
        <v>4535</v>
      </c>
      <c r="D29" s="3">
        <f>D144+D149</f>
        <v>-3890</v>
      </c>
      <c r="E29" s="10">
        <f>E144+E149</f>
        <v>-555</v>
      </c>
      <c r="F29" s="10">
        <f>F144+F149</f>
        <v>0</v>
      </c>
      <c r="G29" s="10">
        <f>G149+G144</f>
        <v>1775</v>
      </c>
      <c r="H29" s="10">
        <f t="shared" ref="H29:I29" si="25">H149+H144</f>
        <v>0</v>
      </c>
      <c r="I29" s="10">
        <f t="shared" si="25"/>
        <v>0</v>
      </c>
      <c r="J29" s="49">
        <f t="shared" ref="J29:M30" si="26">J149+J144</f>
        <v>0</v>
      </c>
      <c r="K29" s="49">
        <f t="shared" si="26"/>
        <v>0</v>
      </c>
      <c r="L29" s="49">
        <f t="shared" si="26"/>
        <v>0</v>
      </c>
      <c r="M29" s="49">
        <f t="shared" si="26"/>
        <v>0</v>
      </c>
      <c r="N29" s="49">
        <f>SUM(B29:M29)</f>
        <v>1865</v>
      </c>
      <c r="P29" s="49">
        <f t="shared" si="3"/>
        <v>169.54545454545453</v>
      </c>
      <c r="Q29" s="49">
        <f t="shared" si="4"/>
        <v>-169.54545454545453</v>
      </c>
    </row>
    <row r="30" spans="1:17" x14ac:dyDescent="0.25">
      <c r="A30" s="105" t="s">
        <v>25</v>
      </c>
      <c r="B30" s="49">
        <v>0</v>
      </c>
      <c r="C30" s="49">
        <v>0</v>
      </c>
      <c r="D30" s="49">
        <v>0</v>
      </c>
      <c r="E30" s="12">
        <v>0</v>
      </c>
      <c r="F30" s="12">
        <f>F145+F150</f>
        <v>0</v>
      </c>
      <c r="G30" s="12">
        <v>0</v>
      </c>
      <c r="H30" s="12">
        <f>H145+H150</f>
        <v>-880</v>
      </c>
      <c r="I30" s="12">
        <f>I145+I150</f>
        <v>0</v>
      </c>
      <c r="J30" s="49">
        <f t="shared" si="26"/>
        <v>0</v>
      </c>
      <c r="K30" s="49">
        <f t="shared" si="26"/>
        <v>0</v>
      </c>
      <c r="L30" s="49">
        <f t="shared" si="26"/>
        <v>0</v>
      </c>
      <c r="M30" s="49">
        <f t="shared" si="26"/>
        <v>0</v>
      </c>
      <c r="N30" s="49">
        <f>SUM(B30:M30)</f>
        <v>-880</v>
      </c>
      <c r="P30" s="49">
        <f t="shared" si="3"/>
        <v>-80</v>
      </c>
      <c r="Q30" s="49">
        <f t="shared" si="4"/>
        <v>80</v>
      </c>
    </row>
    <row r="31" spans="1:17" x14ac:dyDescent="0.25">
      <c r="C31" s="49"/>
      <c r="D31" s="49"/>
      <c r="E31" s="8"/>
      <c r="F31" s="8"/>
      <c r="G31" s="8"/>
      <c r="H31" s="8"/>
      <c r="I31" s="8"/>
      <c r="J31" s="49"/>
      <c r="K31" s="49"/>
      <c r="L31" s="49"/>
      <c r="M31" s="49"/>
      <c r="N31" s="9"/>
      <c r="P31" s="9">
        <f t="shared" si="3"/>
        <v>0</v>
      </c>
      <c r="Q31" s="9">
        <f t="shared" si="4"/>
        <v>0</v>
      </c>
    </row>
    <row r="32" spans="1:17" x14ac:dyDescent="0.25">
      <c r="A32" s="105" t="s">
        <v>26</v>
      </c>
      <c r="B32" s="49">
        <f t="shared" ref="B32:G32" si="27">+B172</f>
        <v>2910296.13</v>
      </c>
      <c r="C32" s="49">
        <f t="shared" si="27"/>
        <v>1651163.39</v>
      </c>
      <c r="D32" s="49">
        <f t="shared" si="27"/>
        <v>-414097.59</v>
      </c>
      <c r="E32" s="12">
        <f t="shared" si="27"/>
        <v>959937.83</v>
      </c>
      <c r="F32" s="12">
        <f t="shared" si="27"/>
        <v>-3014399.59</v>
      </c>
      <c r="G32" s="12">
        <f t="shared" si="27"/>
        <v>3160990.11</v>
      </c>
      <c r="H32" s="12">
        <f>+H172+H185</f>
        <v>-6978241.0899999999</v>
      </c>
      <c r="I32" s="12">
        <f>+I172+I185</f>
        <v>-1664169.4700000002</v>
      </c>
      <c r="J32" s="49">
        <f>+J172</f>
        <v>0</v>
      </c>
      <c r="K32" s="49">
        <f>+K172</f>
        <v>0</v>
      </c>
      <c r="L32" s="49">
        <f>+L172</f>
        <v>0</v>
      </c>
      <c r="M32" s="49">
        <f>+M172</f>
        <v>0</v>
      </c>
      <c r="N32" s="49">
        <f>SUM(B32:M32)</f>
        <v>-3388520.2800000007</v>
      </c>
      <c r="P32" s="49">
        <f t="shared" si="3"/>
        <v>-308047.29818181827</v>
      </c>
      <c r="Q32" s="49">
        <f t="shared" si="4"/>
        <v>308047.29818181827</v>
      </c>
    </row>
    <row r="33" spans="1:17" x14ac:dyDescent="0.25">
      <c r="A33" s="105" t="s">
        <v>27</v>
      </c>
      <c r="B33" s="3">
        <f t="shared" ref="B33:G33" si="28">B168</f>
        <v>2682.05</v>
      </c>
      <c r="C33" s="3">
        <f t="shared" si="28"/>
        <v>-1617.38</v>
      </c>
      <c r="D33" s="3">
        <f t="shared" si="28"/>
        <v>5756.07</v>
      </c>
      <c r="E33" s="3">
        <f t="shared" si="28"/>
        <v>9048.32</v>
      </c>
      <c r="F33" s="3">
        <f t="shared" si="28"/>
        <v>11168.19</v>
      </c>
      <c r="G33" s="3">
        <f t="shared" si="28"/>
        <v>3721.59</v>
      </c>
      <c r="H33" s="3">
        <f t="shared" ref="H33:I33" si="29">H168</f>
        <v>6172.25</v>
      </c>
      <c r="I33" s="3">
        <f t="shared" si="29"/>
        <v>7102.98</v>
      </c>
      <c r="J33" s="49">
        <f>J168</f>
        <v>0</v>
      </c>
      <c r="K33" s="49">
        <f>K168</f>
        <v>0</v>
      </c>
      <c r="L33" s="49">
        <f>L168</f>
        <v>0</v>
      </c>
      <c r="M33" s="49">
        <f>M168</f>
        <v>0</v>
      </c>
      <c r="N33" s="49">
        <f>SUM(B33:M33)</f>
        <v>44034.069999999992</v>
      </c>
      <c r="P33" s="49">
        <f t="shared" si="3"/>
        <v>4003.097272727272</v>
      </c>
      <c r="Q33" s="49">
        <f t="shared" si="4"/>
        <v>-4003.097272727272</v>
      </c>
    </row>
    <row r="34" spans="1:17" x14ac:dyDescent="0.25">
      <c r="A34" s="105" t="s">
        <v>28</v>
      </c>
      <c r="B34" s="6">
        <f t="shared" ref="B34:N34" si="30">SUM(B14:B33)</f>
        <v>584428259.50999987</v>
      </c>
      <c r="C34" s="6">
        <f t="shared" si="30"/>
        <v>1325767059.3100004</v>
      </c>
      <c r="D34" s="6">
        <f t="shared" si="30"/>
        <v>407667417.19000006</v>
      </c>
      <c r="E34" s="6">
        <f t="shared" si="30"/>
        <v>144338649.61000001</v>
      </c>
      <c r="F34" s="6">
        <f t="shared" si="30"/>
        <v>211932002.40000001</v>
      </c>
      <c r="G34" s="6">
        <f t="shared" si="30"/>
        <v>355674922.34000009</v>
      </c>
      <c r="H34" s="6">
        <f>SUM(H14:H33)</f>
        <v>291087343.19999993</v>
      </c>
      <c r="I34" s="6">
        <f>SUM(I14:I33)</f>
        <v>453663314.29999989</v>
      </c>
      <c r="J34" s="6">
        <f t="shared" si="30"/>
        <v>0</v>
      </c>
      <c r="K34" s="6">
        <f t="shared" si="30"/>
        <v>0</v>
      </c>
      <c r="L34" s="6">
        <f t="shared" si="30"/>
        <v>0</v>
      </c>
      <c r="M34" s="6">
        <f t="shared" si="30"/>
        <v>0</v>
      </c>
      <c r="N34" s="6">
        <f t="shared" si="30"/>
        <v>3774558967.8599992</v>
      </c>
      <c r="P34" s="6">
        <f t="shared" si="3"/>
        <v>343141724.35090899</v>
      </c>
      <c r="Q34" s="6">
        <f t="shared" si="4"/>
        <v>-343141724.35090899</v>
      </c>
    </row>
    <row r="35" spans="1:17" ht="24" customHeight="1" thickBot="1" x14ac:dyDescent="0.3">
      <c r="A35" s="105" t="s">
        <v>29</v>
      </c>
      <c r="B35" s="28">
        <f t="shared" ref="B35:N35" si="31">+B11-B34</f>
        <v>873800.75000011921</v>
      </c>
      <c r="C35" s="28">
        <f t="shared" si="31"/>
        <v>807135.46999979019</v>
      </c>
      <c r="D35" s="28">
        <f t="shared" si="31"/>
        <v>873124.75999993086</v>
      </c>
      <c r="E35" s="28">
        <f t="shared" si="31"/>
        <v>583926.69999995828</v>
      </c>
      <c r="F35" s="28">
        <f t="shared" si="31"/>
        <v>474371.84000000358</v>
      </c>
      <c r="G35" s="28">
        <f t="shared" si="31"/>
        <v>577793.05999994278</v>
      </c>
      <c r="H35" s="28">
        <f>+H11-H34</f>
        <v>426753.60000002384</v>
      </c>
      <c r="I35" s="28">
        <f>+I11-I34</f>
        <v>715437.57000005245</v>
      </c>
      <c r="J35" s="28">
        <f t="shared" si="31"/>
        <v>0</v>
      </c>
      <c r="K35" s="28">
        <f t="shared" si="31"/>
        <v>0</v>
      </c>
      <c r="L35" s="28">
        <f t="shared" si="31"/>
        <v>0</v>
      </c>
      <c r="M35" s="28">
        <f t="shared" si="31"/>
        <v>0</v>
      </c>
      <c r="N35" s="28">
        <f t="shared" si="31"/>
        <v>5332343.7500009537</v>
      </c>
      <c r="P35" s="28">
        <f t="shared" si="3"/>
        <v>484758.52272735944</v>
      </c>
      <c r="Q35" s="28">
        <f t="shared" si="4"/>
        <v>-484758.52272735944</v>
      </c>
    </row>
    <row r="36" spans="1:17" ht="24" customHeight="1" thickTop="1" x14ac:dyDescent="0.25">
      <c r="B36" s="13">
        <f>+B35/B11</f>
        <v>1.4929056453550902E-3</v>
      </c>
      <c r="C36" s="13">
        <f t="shared" ref="C36:N36" si="32">+C35/C11</f>
        <v>6.0843597981615036E-4</v>
      </c>
      <c r="D36" s="13">
        <f t="shared" si="32"/>
        <v>2.137180206969006E-3</v>
      </c>
      <c r="E36" s="13">
        <f t="shared" si="32"/>
        <v>4.029232124268178E-3</v>
      </c>
      <c r="F36" s="13">
        <f t="shared" si="32"/>
        <v>2.233322053998277E-3</v>
      </c>
      <c r="G36" s="13">
        <f t="shared" si="32"/>
        <v>1.6218628940166744E-3</v>
      </c>
      <c r="H36" s="13">
        <f t="shared" ref="H36" si="33">+H35/H11</f>
        <v>1.4639209722087921E-3</v>
      </c>
      <c r="I36" s="13">
        <f t="shared" si="32"/>
        <v>1.5745401101078397E-3</v>
      </c>
      <c r="J36" s="13" t="e">
        <f t="shared" si="32"/>
        <v>#DIV/0!</v>
      </c>
      <c r="K36" s="13" t="e">
        <f t="shared" si="32"/>
        <v>#DIV/0!</v>
      </c>
      <c r="L36" s="13" t="e">
        <f t="shared" si="32"/>
        <v>#DIV/0!</v>
      </c>
      <c r="M36" s="13" t="e">
        <f>+M35/M11</f>
        <v>#DIV/0!</v>
      </c>
      <c r="N36" s="13">
        <f t="shared" si="32"/>
        <v>1.4107135127464036E-3</v>
      </c>
      <c r="P36" s="13" t="e">
        <f t="shared" si="3"/>
        <v>#DIV/0!</v>
      </c>
      <c r="Q36" s="13" t="e">
        <f t="shared" si="4"/>
        <v>#DIV/0!</v>
      </c>
    </row>
    <row r="37" spans="1:17" ht="24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P37" s="4">
        <f t="shared" si="3"/>
        <v>0</v>
      </c>
      <c r="Q37" s="4">
        <f t="shared" si="4"/>
        <v>0</v>
      </c>
    </row>
    <row r="38" spans="1:17" s="14" customFormat="1" x14ac:dyDescent="0.25">
      <c r="A38" s="107" t="s">
        <v>30</v>
      </c>
      <c r="B38" s="4">
        <f>'[4]Comparison 2017-2018'!$G$30</f>
        <v>885928.51408513961</v>
      </c>
      <c r="C38" s="4">
        <f>'[4]Comparison 2017-2018'!$G$54</f>
        <v>681928.29401690571</v>
      </c>
      <c r="D38" s="4">
        <f>'[4]Comparison 2017-2018'!$G$80</f>
        <v>674363.71418699983</v>
      </c>
      <c r="E38" s="4">
        <f>'[4]Comparison 2017-2018'!$G$105</f>
        <v>655611.34502510389</v>
      </c>
      <c r="F38" s="4">
        <v>538671.68000000005</v>
      </c>
      <c r="G38" s="4">
        <f>'[4]Comparison 2017-2018'!$G$155</f>
        <v>704133.82690028625</v>
      </c>
      <c r="H38" s="4">
        <f>'[4]Comparison 2017-2018'!$G$181</f>
        <v>515101.24188355304</v>
      </c>
      <c r="I38" s="4">
        <f>'[4]Comparison 2017-2018'!$G$207</f>
        <v>680756.08379218809</v>
      </c>
      <c r="J38" s="4"/>
      <c r="K38" s="4"/>
      <c r="L38" s="4"/>
      <c r="M38" s="4"/>
      <c r="N38" s="49">
        <f>SUM(B38:M38)</f>
        <v>5336494.6998901768</v>
      </c>
      <c r="P38" s="49">
        <f t="shared" si="3"/>
        <v>485135.88180819788</v>
      </c>
      <c r="Q38" s="49">
        <f t="shared" si="4"/>
        <v>-485135.88180819788</v>
      </c>
    </row>
    <row r="39" spans="1:17" s="14" customFormat="1" x14ac:dyDescent="0.25">
      <c r="A39" s="107" t="s">
        <v>31</v>
      </c>
      <c r="B39" s="4">
        <f>11347.91+1307.73</f>
        <v>12655.64</v>
      </c>
      <c r="C39" s="4">
        <f>2264.54+222.6</f>
        <v>2487.14</v>
      </c>
      <c r="D39" s="4">
        <f>3529.42+2652.3</f>
        <v>6181.72</v>
      </c>
      <c r="E39" s="4">
        <f>1899.66+1105.7</f>
        <v>3005.36</v>
      </c>
      <c r="F39" s="4">
        <v>3451.23</v>
      </c>
      <c r="G39" s="4">
        <f>1519.77+2478.24</f>
        <v>3998.0099999999998</v>
      </c>
      <c r="H39" s="4">
        <f>1220.82+2101.18</f>
        <v>3322</v>
      </c>
      <c r="I39" s="4">
        <f>2140.74+387.79</f>
        <v>2528.5299999999997</v>
      </c>
      <c r="J39" s="4"/>
      <c r="K39" s="4"/>
      <c r="L39" s="4"/>
      <c r="M39" s="4"/>
      <c r="N39" s="49">
        <f>SUM(B39:M39)</f>
        <v>37629.629999999997</v>
      </c>
      <c r="P39" s="49">
        <f t="shared" si="3"/>
        <v>3420.8754545454544</v>
      </c>
      <c r="Q39" s="49">
        <f t="shared" si="4"/>
        <v>-3420.8754545454544</v>
      </c>
    </row>
    <row r="40" spans="1:17" s="14" customFormat="1" x14ac:dyDescent="0.25">
      <c r="A40" s="107" t="s">
        <v>32</v>
      </c>
      <c r="B40" s="4">
        <f>'[5]Monthly Summary'!$B$6</f>
        <v>51934.229999999996</v>
      </c>
      <c r="C40" s="4">
        <f>[6]Feb!$B$35</f>
        <v>36189.82</v>
      </c>
      <c r="D40" s="4">
        <f>[5]Mar!$B$35</f>
        <v>90332.26999999999</v>
      </c>
      <c r="E40" s="11">
        <f>[5]Apr!$B$35</f>
        <v>42087.81</v>
      </c>
      <c r="F40" s="11">
        <v>36064.49</v>
      </c>
      <c r="G40" s="11">
        <f>[5]Jun!$B$35</f>
        <v>6099.46</v>
      </c>
      <c r="H40" s="11">
        <f>[5]Jul!$B$35</f>
        <v>91429.33</v>
      </c>
      <c r="I40" s="11">
        <f>[5]Aug!$B$35</f>
        <v>25335.02</v>
      </c>
      <c r="J40" s="15"/>
      <c r="K40" s="15"/>
      <c r="L40" s="15"/>
      <c r="M40" s="15"/>
      <c r="N40" s="49">
        <f>SUM(B40:M40)</f>
        <v>379472.43</v>
      </c>
      <c r="P40" s="49">
        <f t="shared" si="3"/>
        <v>34497.493636363637</v>
      </c>
      <c r="Q40" s="49">
        <f t="shared" si="4"/>
        <v>-34497.493636363637</v>
      </c>
    </row>
    <row r="41" spans="1:17" s="154" customFormat="1" x14ac:dyDescent="0.25">
      <c r="A41" s="14" t="s">
        <v>471</v>
      </c>
      <c r="B41" s="49">
        <f>-11152-36907.01</f>
        <v>-48059.01</v>
      </c>
      <c r="C41" s="4">
        <f>-4530.13-104404.39</f>
        <v>-108934.52</v>
      </c>
      <c r="D41" s="4">
        <v>-27223.4</v>
      </c>
      <c r="E41" s="4">
        <v>-45776.83</v>
      </c>
      <c r="F41" s="4">
        <v>-39077.56</v>
      </c>
      <c r="G41" s="10">
        <f>-13634.37-199763.99</f>
        <v>-213398.36</v>
      </c>
      <c r="H41" s="10">
        <v>-22650.5</v>
      </c>
      <c r="I41" s="4">
        <f>-18941-67230.98</f>
        <v>-86171.98</v>
      </c>
      <c r="J41" s="4"/>
      <c r="K41" s="15"/>
      <c r="L41" s="15"/>
      <c r="M41" s="15"/>
      <c r="N41" s="49">
        <f t="shared" ref="N41" si="34">SUM(B41:M41)</f>
        <v>-591292.16000000003</v>
      </c>
      <c r="O41" s="153"/>
      <c r="P41" s="49">
        <f t="shared" si="3"/>
        <v>-53753.832727272733</v>
      </c>
      <c r="Q41" s="49">
        <f t="shared" si="4"/>
        <v>53753.832727272733</v>
      </c>
    </row>
    <row r="42" spans="1:17" s="154" customFormat="1" x14ac:dyDescent="0.25">
      <c r="A42" s="154" t="s">
        <v>33</v>
      </c>
      <c r="B42" s="49">
        <v>0</v>
      </c>
      <c r="C42" s="4">
        <v>0</v>
      </c>
      <c r="D42" s="4">
        <v>0</v>
      </c>
      <c r="E42" s="4">
        <v>49617</v>
      </c>
      <c r="F42" s="4">
        <v>41682</v>
      </c>
      <c r="G42" s="10">
        <v>28751</v>
      </c>
      <c r="H42" s="10">
        <v>15774</v>
      </c>
      <c r="I42" s="4">
        <v>2612</v>
      </c>
      <c r="J42" s="4"/>
      <c r="K42" s="15"/>
      <c r="L42" s="15"/>
      <c r="M42" s="15"/>
      <c r="N42" s="49">
        <f t="shared" ref="N42" si="35">SUM(B42:M42)</f>
        <v>138436</v>
      </c>
      <c r="O42" s="153"/>
      <c r="P42" s="49">
        <f t="shared" si="3"/>
        <v>12585.09090909091</v>
      </c>
      <c r="Q42" s="49">
        <f t="shared" si="4"/>
        <v>-12585.09090909091</v>
      </c>
    </row>
    <row r="43" spans="1:17" s="14" customFormat="1" x14ac:dyDescent="0.25">
      <c r="A43" s="107" t="s">
        <v>34</v>
      </c>
      <c r="B43" s="49">
        <f>-51657.33-70861</f>
        <v>-122518.33</v>
      </c>
      <c r="C43" s="4">
        <f>8840+42577</f>
        <v>51417</v>
      </c>
      <c r="D43" s="4">
        <f>-5460+61057-530</f>
        <v>55067</v>
      </c>
      <c r="E43" s="10">
        <f>9250+15494+530</f>
        <v>25274</v>
      </c>
      <c r="F43" s="10">
        <v>-57663</v>
      </c>
      <c r="G43" s="10">
        <f>-3480+39926</f>
        <v>36446</v>
      </c>
      <c r="H43" s="10">
        <v>-25800</v>
      </c>
      <c r="I43" s="10">
        <v>36495</v>
      </c>
      <c r="J43" s="4"/>
      <c r="K43" s="15"/>
      <c r="L43" s="15"/>
      <c r="M43" s="17"/>
      <c r="N43" s="49">
        <f>SUM(B43:M43)</f>
        <v>-1282.3300000000017</v>
      </c>
      <c r="O43" s="16"/>
      <c r="P43" s="49">
        <f t="shared" si="3"/>
        <v>-116.5754545454547</v>
      </c>
      <c r="Q43" s="49">
        <f t="shared" si="4"/>
        <v>116.5754545454547</v>
      </c>
    </row>
    <row r="44" spans="1:17" s="14" customFormat="1" x14ac:dyDescent="0.25">
      <c r="A44" s="105" t="s">
        <v>35</v>
      </c>
      <c r="B44" s="49">
        <v>129582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/>
      <c r="K44" s="15"/>
      <c r="L44" s="15"/>
      <c r="M44" s="15"/>
      <c r="N44" s="49">
        <f>SUM(B44:M44)</f>
        <v>129582</v>
      </c>
      <c r="P44" s="49">
        <f t="shared" si="3"/>
        <v>11780.181818181818</v>
      </c>
      <c r="Q44" s="49">
        <f t="shared" si="4"/>
        <v>-11780.181818181818</v>
      </c>
    </row>
    <row r="45" spans="1:17" s="14" customFormat="1" x14ac:dyDescent="0.25">
      <c r="A45" s="105" t="s">
        <v>36</v>
      </c>
      <c r="B45" s="49">
        <v>-35000</v>
      </c>
      <c r="C45" s="49">
        <f>-18000-17000</f>
        <v>-35000</v>
      </c>
      <c r="D45" s="49">
        <v>-35000</v>
      </c>
      <c r="E45" s="49">
        <v>-35000</v>
      </c>
      <c r="F45" s="49">
        <v>-35000</v>
      </c>
      <c r="G45" s="49">
        <v>-35000</v>
      </c>
      <c r="H45" s="49">
        <v>-35000</v>
      </c>
      <c r="I45" s="49">
        <v>-35000</v>
      </c>
      <c r="J45" s="49"/>
      <c r="K45" s="49"/>
      <c r="L45" s="49"/>
      <c r="M45" s="49"/>
      <c r="N45" s="49">
        <f>SUM(B45:M45)</f>
        <v>-280000</v>
      </c>
      <c r="P45" s="49">
        <f t="shared" si="3"/>
        <v>-25454.545454545456</v>
      </c>
      <c r="Q45" s="49">
        <f t="shared" si="4"/>
        <v>25454.545454545456</v>
      </c>
    </row>
    <row r="46" spans="1:17" s="14" customFormat="1" x14ac:dyDescent="0.25">
      <c r="A46" s="107"/>
      <c r="B46" s="6">
        <f t="shared" ref="B46:N46" si="36">SUM(B38:B45)</f>
        <v>874523.04408513964</v>
      </c>
      <c r="C46" s="6">
        <f t="shared" si="36"/>
        <v>628087.73401690566</v>
      </c>
      <c r="D46" s="6">
        <f t="shared" si="36"/>
        <v>763721.3041869998</v>
      </c>
      <c r="E46" s="6">
        <f t="shared" si="36"/>
        <v>694818.68502510397</v>
      </c>
      <c r="F46" s="6">
        <f t="shared" si="36"/>
        <v>488128.84000000008</v>
      </c>
      <c r="G46" s="6">
        <f t="shared" si="36"/>
        <v>531029.93690028624</v>
      </c>
      <c r="H46" s="6">
        <f t="shared" si="36"/>
        <v>542176.07188355306</v>
      </c>
      <c r="I46" s="6">
        <f t="shared" si="36"/>
        <v>626554.65379218815</v>
      </c>
      <c r="J46" s="6">
        <f t="shared" si="36"/>
        <v>0</v>
      </c>
      <c r="K46" s="6">
        <f t="shared" si="36"/>
        <v>0</v>
      </c>
      <c r="L46" s="6">
        <f t="shared" si="36"/>
        <v>0</v>
      </c>
      <c r="M46" s="6">
        <f t="shared" si="36"/>
        <v>0</v>
      </c>
      <c r="N46" s="6">
        <f t="shared" si="36"/>
        <v>5149040.2698901761</v>
      </c>
      <c r="P46" s="6">
        <f t="shared" si="3"/>
        <v>468094.569990016</v>
      </c>
      <c r="Q46" s="6">
        <f t="shared" si="4"/>
        <v>-468094.569990016</v>
      </c>
    </row>
    <row r="47" spans="1:17" ht="25.5" customHeight="1" thickBot="1" x14ac:dyDescent="0.3">
      <c r="A47" s="105" t="s">
        <v>37</v>
      </c>
      <c r="B47" s="157">
        <f t="shared" ref="B47:N47" si="37">+B35-B46</f>
        <v>-722.29408502043225</v>
      </c>
      <c r="C47" s="157">
        <f t="shared" si="37"/>
        <v>179047.73598288454</v>
      </c>
      <c r="D47" s="157">
        <f t="shared" si="37"/>
        <v>109403.45581293106</v>
      </c>
      <c r="E47" s="157">
        <f t="shared" si="37"/>
        <v>-110891.9850251457</v>
      </c>
      <c r="F47" s="157">
        <f t="shared" si="37"/>
        <v>-13756.999999996508</v>
      </c>
      <c r="G47" s="157">
        <f t="shared" si="37"/>
        <v>46763.123099656543</v>
      </c>
      <c r="H47" s="157">
        <f t="shared" si="37"/>
        <v>-115422.47188352922</v>
      </c>
      <c r="I47" s="157">
        <f t="shared" si="37"/>
        <v>88882.916207864298</v>
      </c>
      <c r="J47" s="157">
        <f t="shared" si="37"/>
        <v>0</v>
      </c>
      <c r="K47" s="157">
        <f t="shared" si="37"/>
        <v>0</v>
      </c>
      <c r="L47" s="157">
        <f t="shared" si="37"/>
        <v>0</v>
      </c>
      <c r="M47" s="157">
        <f t="shared" si="37"/>
        <v>0</v>
      </c>
      <c r="N47" s="157">
        <f t="shared" si="37"/>
        <v>183303.48011077754</v>
      </c>
      <c r="P47" s="157">
        <f t="shared" si="3"/>
        <v>16663.952737343414</v>
      </c>
      <c r="Q47" s="157">
        <f t="shared" si="4"/>
        <v>-16663.952737343414</v>
      </c>
    </row>
    <row r="48" spans="1:17" ht="15.75" thickTop="1" x14ac:dyDescent="0.25">
      <c r="C48" s="49"/>
      <c r="D48" s="49"/>
      <c r="E48" s="49"/>
      <c r="F48" s="49"/>
      <c r="G48" s="49"/>
      <c r="H48" s="18"/>
      <c r="I48" s="18"/>
      <c r="J48" s="18"/>
      <c r="K48" s="18"/>
      <c r="L48" s="49"/>
      <c r="M48" s="49"/>
      <c r="P48" s="5">
        <f t="shared" si="3"/>
        <v>0</v>
      </c>
      <c r="Q48" s="5">
        <f t="shared" si="4"/>
        <v>0</v>
      </c>
    </row>
    <row r="49" spans="1:17" x14ac:dyDescent="0.25"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P49" s="5">
        <f t="shared" si="3"/>
        <v>0</v>
      </c>
      <c r="Q49" s="5">
        <f t="shared" si="4"/>
        <v>0</v>
      </c>
    </row>
    <row r="50" spans="1:17" ht="30" x14ac:dyDescent="0.25">
      <c r="A50" s="108" t="s">
        <v>38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P50" s="5">
        <f t="shared" si="3"/>
        <v>0</v>
      </c>
      <c r="Q50" s="5">
        <f t="shared" si="4"/>
        <v>0</v>
      </c>
    </row>
    <row r="51" spans="1:17" x14ac:dyDescent="0.25">
      <c r="A51" s="105" t="s">
        <v>4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P51" s="5">
        <f t="shared" si="3"/>
        <v>0</v>
      </c>
      <c r="Q51" s="5">
        <f t="shared" si="4"/>
        <v>0</v>
      </c>
    </row>
    <row r="52" spans="1:17" x14ac:dyDescent="0.25">
      <c r="A52" s="105" t="s">
        <v>39</v>
      </c>
      <c r="B52" s="3">
        <f>B103</f>
        <v>0</v>
      </c>
      <c r="C52" s="3">
        <f>C103</f>
        <v>0</v>
      </c>
      <c r="D52" s="3">
        <f>D103</f>
        <v>0</v>
      </c>
      <c r="E52" s="49">
        <f t="shared" ref="E52:J52" si="38">E103</f>
        <v>0</v>
      </c>
      <c r="F52" s="49">
        <f t="shared" si="38"/>
        <v>0</v>
      </c>
      <c r="G52" s="49">
        <f t="shared" si="38"/>
        <v>0</v>
      </c>
      <c r="H52" s="49">
        <f t="shared" ref="H52" si="39">H103</f>
        <v>0</v>
      </c>
      <c r="I52" s="49">
        <f t="shared" si="38"/>
        <v>0</v>
      </c>
      <c r="J52" s="49">
        <f t="shared" si="38"/>
        <v>0</v>
      </c>
      <c r="K52" s="49">
        <f>K103</f>
        <v>0</v>
      </c>
      <c r="L52" s="49">
        <f>L103</f>
        <v>0</v>
      </c>
      <c r="M52" s="49">
        <f>M103</f>
        <v>0</v>
      </c>
      <c r="N52" s="49">
        <f>SUM(B52:M52)</f>
        <v>0</v>
      </c>
      <c r="P52" s="49">
        <f t="shared" si="3"/>
        <v>0</v>
      </c>
      <c r="Q52" s="49">
        <f t="shared" si="4"/>
        <v>0</v>
      </c>
    </row>
    <row r="53" spans="1:17" x14ac:dyDescent="0.25">
      <c r="A53" s="105" t="s">
        <v>40</v>
      </c>
      <c r="B53" s="3">
        <f>B109+B120</f>
        <v>44174.48</v>
      </c>
      <c r="C53" s="3">
        <f>C109+C120</f>
        <v>37026.959999999999</v>
      </c>
      <c r="D53" s="3">
        <f>D109+D120</f>
        <v>50952.97</v>
      </c>
      <c r="E53" s="3">
        <f>E109+E120</f>
        <v>17383</v>
      </c>
      <c r="F53" s="3">
        <f t="shared" ref="F53:M53" si="40">F109+F120</f>
        <v>6537.5</v>
      </c>
      <c r="G53" s="3">
        <f t="shared" si="40"/>
        <v>12690.5</v>
      </c>
      <c r="H53" s="3">
        <f t="shared" ref="H53" si="41">H109+H120</f>
        <v>14136.99</v>
      </c>
      <c r="I53" s="3">
        <f t="shared" si="40"/>
        <v>3546</v>
      </c>
      <c r="J53" s="3">
        <f t="shared" si="40"/>
        <v>0</v>
      </c>
      <c r="K53" s="3">
        <f t="shared" si="40"/>
        <v>0</v>
      </c>
      <c r="L53" s="3">
        <f t="shared" si="40"/>
        <v>0</v>
      </c>
      <c r="M53" s="3">
        <f t="shared" si="40"/>
        <v>0</v>
      </c>
      <c r="N53" s="49">
        <f>SUM(B53:M53)</f>
        <v>186448.4</v>
      </c>
      <c r="P53" s="49">
        <f t="shared" si="3"/>
        <v>16949.854545454546</v>
      </c>
      <c r="Q53" s="49">
        <f t="shared" si="4"/>
        <v>-16949.854545454546</v>
      </c>
    </row>
    <row r="54" spans="1:17" x14ac:dyDescent="0.25">
      <c r="A54" s="105" t="s">
        <v>41</v>
      </c>
      <c r="B54" s="49">
        <f>B108+B119</f>
        <v>0</v>
      </c>
      <c r="C54" s="49">
        <f>C108+C119</f>
        <v>0</v>
      </c>
      <c r="D54" s="49">
        <f>D108+D119</f>
        <v>0</v>
      </c>
      <c r="E54" s="49">
        <f>E108+E119</f>
        <v>0</v>
      </c>
      <c r="F54" s="49">
        <f t="shared" ref="F54:M54" si="42">F108+F119</f>
        <v>100</v>
      </c>
      <c r="G54" s="49">
        <f t="shared" si="42"/>
        <v>0</v>
      </c>
      <c r="H54" s="49">
        <f t="shared" ref="H54" si="43">H108+H119</f>
        <v>100</v>
      </c>
      <c r="I54" s="49">
        <f t="shared" si="42"/>
        <v>275</v>
      </c>
      <c r="J54" s="49">
        <f t="shared" si="42"/>
        <v>0</v>
      </c>
      <c r="K54" s="49">
        <f t="shared" si="42"/>
        <v>0</v>
      </c>
      <c r="L54" s="49">
        <f t="shared" si="42"/>
        <v>0</v>
      </c>
      <c r="M54" s="49">
        <f t="shared" si="42"/>
        <v>0</v>
      </c>
      <c r="N54" s="49">
        <f>SUM(B54:M54)</f>
        <v>475</v>
      </c>
      <c r="P54" s="49">
        <f t="shared" si="3"/>
        <v>43.18181818181818</v>
      </c>
      <c r="Q54" s="49">
        <f t="shared" si="4"/>
        <v>-43.18181818181818</v>
      </c>
    </row>
    <row r="55" spans="1:17" x14ac:dyDescent="0.25">
      <c r="A55" s="105" t="s">
        <v>42</v>
      </c>
      <c r="B55" s="3">
        <f>B110+B112+B113+B114</f>
        <v>44096.53</v>
      </c>
      <c r="C55" s="3">
        <f>C110+C112+C113+C114</f>
        <v>78044.399999999994</v>
      </c>
      <c r="D55" s="3">
        <f>D110+D112+D113+D114</f>
        <v>64584.18</v>
      </c>
      <c r="E55" s="3">
        <f>E110+E112+E113+E114</f>
        <v>30224.629999999997</v>
      </c>
      <c r="F55" s="3">
        <f t="shared" ref="F55:M55" si="44">F110+F112+F113+F114</f>
        <v>73319.850000000006</v>
      </c>
      <c r="G55" s="3">
        <f t="shared" si="44"/>
        <v>39472.699999999997</v>
      </c>
      <c r="H55" s="3">
        <f t="shared" ref="H55" si="45">H110+H112+H113+H114</f>
        <v>105316.34</v>
      </c>
      <c r="I55" s="3">
        <f t="shared" si="44"/>
        <v>42109.01</v>
      </c>
      <c r="J55" s="3">
        <f t="shared" si="44"/>
        <v>0</v>
      </c>
      <c r="K55" s="3">
        <f t="shared" si="44"/>
        <v>0</v>
      </c>
      <c r="L55" s="3">
        <f t="shared" si="44"/>
        <v>0</v>
      </c>
      <c r="M55" s="3">
        <f t="shared" si="44"/>
        <v>0</v>
      </c>
      <c r="N55" s="49">
        <f>SUM(B55:M55)</f>
        <v>477167.64</v>
      </c>
      <c r="P55" s="49">
        <f t="shared" si="3"/>
        <v>43378.876363636366</v>
      </c>
      <c r="Q55" s="49">
        <f t="shared" si="4"/>
        <v>-43378.876363636366</v>
      </c>
    </row>
    <row r="56" spans="1:17" x14ac:dyDescent="0.25">
      <c r="A56" s="105" t="s">
        <v>43</v>
      </c>
      <c r="B56" s="19">
        <f>SUM(B52:B55)</f>
        <v>88271.010000000009</v>
      </c>
      <c r="C56" s="19">
        <f t="shared" ref="C56:N56" si="46">SUM(C52:C55)</f>
        <v>115071.35999999999</v>
      </c>
      <c r="D56" s="19">
        <f t="shared" si="46"/>
        <v>115537.15</v>
      </c>
      <c r="E56" s="19">
        <f t="shared" si="46"/>
        <v>47607.63</v>
      </c>
      <c r="F56" s="19">
        <f t="shared" si="46"/>
        <v>79957.350000000006</v>
      </c>
      <c r="G56" s="19">
        <f t="shared" si="46"/>
        <v>52163.199999999997</v>
      </c>
      <c r="H56" s="19">
        <f t="shared" ref="H56" si="47">SUM(H52:H55)</f>
        <v>119553.33</v>
      </c>
      <c r="I56" s="19">
        <f t="shared" si="46"/>
        <v>45930.01</v>
      </c>
      <c r="J56" s="19">
        <f t="shared" si="46"/>
        <v>0</v>
      </c>
      <c r="K56" s="19">
        <f t="shared" si="46"/>
        <v>0</v>
      </c>
      <c r="L56" s="19">
        <f t="shared" si="46"/>
        <v>0</v>
      </c>
      <c r="M56" s="19">
        <f t="shared" si="46"/>
        <v>0</v>
      </c>
      <c r="N56" s="19">
        <f t="shared" si="46"/>
        <v>664091.04</v>
      </c>
      <c r="P56" s="19">
        <f t="shared" si="3"/>
        <v>60371.912727272727</v>
      </c>
      <c r="Q56" s="19">
        <f t="shared" si="4"/>
        <v>-60371.912727272727</v>
      </c>
    </row>
    <row r="57" spans="1:17" x14ac:dyDescent="0.25">
      <c r="A57" s="105" t="s">
        <v>44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9"/>
      <c r="P57" s="9">
        <f t="shared" si="3"/>
        <v>0</v>
      </c>
      <c r="Q57" s="9">
        <f t="shared" si="4"/>
        <v>0</v>
      </c>
    </row>
    <row r="58" spans="1:17" x14ac:dyDescent="0.25">
      <c r="A58" s="105" t="s">
        <v>39</v>
      </c>
      <c r="B58" s="3">
        <f>B129</f>
        <v>0</v>
      </c>
      <c r="C58" s="3">
        <f>C129</f>
        <v>0</v>
      </c>
      <c r="D58" s="3">
        <f>D129</f>
        <v>0</v>
      </c>
      <c r="E58" s="3">
        <f t="shared" ref="E58:J58" si="48">E129</f>
        <v>0</v>
      </c>
      <c r="F58" s="3">
        <f>F129</f>
        <v>0</v>
      </c>
      <c r="G58" s="49">
        <f t="shared" si="48"/>
        <v>0</v>
      </c>
      <c r="H58" s="49">
        <f t="shared" ref="H58" si="49">H129</f>
        <v>0</v>
      </c>
      <c r="I58" s="49">
        <f t="shared" si="48"/>
        <v>0</v>
      </c>
      <c r="J58" s="49">
        <f t="shared" si="48"/>
        <v>0</v>
      </c>
      <c r="K58" s="49">
        <f>K129</f>
        <v>0</v>
      </c>
      <c r="L58" s="49">
        <f>L129</f>
        <v>0</v>
      </c>
      <c r="M58" s="49">
        <f>M129</f>
        <v>0</v>
      </c>
      <c r="N58" s="49">
        <f t="shared" ref="N58:N65" si="50">SUM(B58:M58)</f>
        <v>0</v>
      </c>
      <c r="P58" s="49">
        <f t="shared" si="3"/>
        <v>0</v>
      </c>
      <c r="Q58" s="49">
        <f t="shared" si="4"/>
        <v>0</v>
      </c>
    </row>
    <row r="59" spans="1:17" x14ac:dyDescent="0.25">
      <c r="A59" s="105" t="s">
        <v>45</v>
      </c>
      <c r="B59" s="3">
        <f>B135+B140+B141+B179+B167+B170+B178</f>
        <v>57082.080000000009</v>
      </c>
      <c r="C59" s="3">
        <f>C135+C140+C141+C179+C167+C170+C178</f>
        <v>43072.58</v>
      </c>
      <c r="D59" s="3">
        <f>D135+D140+D141+D179+D167+D170+D178</f>
        <v>59675.47</v>
      </c>
      <c r="E59" s="3">
        <f>E135+E140+E141+E179+E167+E170+E178</f>
        <v>4134.2700000000004</v>
      </c>
      <c r="F59" s="3">
        <f>F135+F140+F141+F179+F167+F170+F178</f>
        <v>5289.5499999999993</v>
      </c>
      <c r="G59" s="49">
        <f t="shared" ref="G59:M59" si="51">G135+G167+G140+G141+G134+G178+G179+G170</f>
        <v>13894.16</v>
      </c>
      <c r="H59" s="49">
        <f t="shared" ref="H59" si="52">H135+H167+H140+H141+H134+H178+H179+H170</f>
        <v>20530.47</v>
      </c>
      <c r="I59" s="49">
        <f t="shared" si="51"/>
        <v>5400.13</v>
      </c>
      <c r="J59" s="49">
        <f t="shared" si="51"/>
        <v>0</v>
      </c>
      <c r="K59" s="49">
        <f t="shared" si="51"/>
        <v>0</v>
      </c>
      <c r="L59" s="49">
        <f t="shared" si="51"/>
        <v>0</v>
      </c>
      <c r="M59" s="49">
        <f t="shared" si="51"/>
        <v>0</v>
      </c>
      <c r="N59" s="49">
        <f t="shared" si="50"/>
        <v>209078.71</v>
      </c>
      <c r="P59" s="49">
        <f t="shared" si="3"/>
        <v>19007.155454545453</v>
      </c>
      <c r="Q59" s="49">
        <f t="shared" si="4"/>
        <v>-19007.155454545453</v>
      </c>
    </row>
    <row r="60" spans="1:17" x14ac:dyDescent="0.25">
      <c r="A60" s="105" t="s">
        <v>46</v>
      </c>
      <c r="B60" s="3">
        <f>B137+B139</f>
        <v>162526.82</v>
      </c>
      <c r="C60" s="3">
        <f>C137+C139</f>
        <v>186551.2</v>
      </c>
      <c r="D60" s="3">
        <f>D137+D139+D138</f>
        <v>121471.26</v>
      </c>
      <c r="E60" s="3">
        <f t="shared" ref="E60:J60" si="53">E137+E139</f>
        <v>104538.95</v>
      </c>
      <c r="F60" s="3">
        <f>F137+F139+F138</f>
        <v>112337.33</v>
      </c>
      <c r="G60" s="49">
        <f t="shared" si="53"/>
        <v>58522.59</v>
      </c>
      <c r="H60" s="49">
        <f t="shared" ref="H60" si="54">H137+H139</f>
        <v>142640.88</v>
      </c>
      <c r="I60" s="49">
        <f t="shared" si="53"/>
        <v>302010.69</v>
      </c>
      <c r="J60" s="49">
        <f t="shared" si="53"/>
        <v>0</v>
      </c>
      <c r="K60" s="49">
        <f>K137+K139</f>
        <v>0</v>
      </c>
      <c r="L60" s="49">
        <f>L137+L139</f>
        <v>0</v>
      </c>
      <c r="M60" s="49">
        <f>M137+M139+M138</f>
        <v>0</v>
      </c>
      <c r="N60" s="49">
        <f t="shared" si="50"/>
        <v>1190599.72</v>
      </c>
      <c r="P60" s="49">
        <f t="shared" si="3"/>
        <v>108236.33818181818</v>
      </c>
      <c r="Q60" s="49">
        <f t="shared" si="4"/>
        <v>-108236.33818181818</v>
      </c>
    </row>
    <row r="61" spans="1:17" x14ac:dyDescent="0.25">
      <c r="A61" s="105" t="s">
        <v>47</v>
      </c>
      <c r="B61" s="3">
        <f t="shared" ref="B61:M61" si="55">B169</f>
        <v>5000</v>
      </c>
      <c r="C61" s="3">
        <f t="shared" si="55"/>
        <v>16772.5</v>
      </c>
      <c r="D61" s="3">
        <f t="shared" si="55"/>
        <v>-6772.5</v>
      </c>
      <c r="E61" s="3">
        <f t="shared" si="55"/>
        <v>5000</v>
      </c>
      <c r="F61" s="3">
        <f t="shared" si="55"/>
        <v>5000</v>
      </c>
      <c r="G61" s="49">
        <f t="shared" si="55"/>
        <v>5000</v>
      </c>
      <c r="H61" s="49">
        <f t="shared" ref="H61" si="56">H169</f>
        <v>5000</v>
      </c>
      <c r="I61" s="49">
        <f t="shared" si="55"/>
        <v>5000</v>
      </c>
      <c r="J61" s="49">
        <f t="shared" si="55"/>
        <v>0</v>
      </c>
      <c r="K61" s="49">
        <f t="shared" si="55"/>
        <v>0</v>
      </c>
      <c r="L61" s="49">
        <f t="shared" si="55"/>
        <v>0</v>
      </c>
      <c r="M61" s="49">
        <f t="shared" si="55"/>
        <v>0</v>
      </c>
      <c r="N61" s="49">
        <f t="shared" si="50"/>
        <v>40000</v>
      </c>
      <c r="P61" s="49">
        <f t="shared" si="3"/>
        <v>3636.3636363636365</v>
      </c>
      <c r="Q61" s="49">
        <f t="shared" si="4"/>
        <v>-3636.3636363636365</v>
      </c>
    </row>
    <row r="62" spans="1:17" x14ac:dyDescent="0.25">
      <c r="A62" s="105" t="s">
        <v>48</v>
      </c>
      <c r="B62" s="3">
        <f>B176+B180+B181+B175+B177</f>
        <v>15314.77</v>
      </c>
      <c r="C62" s="3">
        <f>C176+C180+C181+C175+C177</f>
        <v>24623.15</v>
      </c>
      <c r="D62" s="3">
        <f t="shared" ref="D62:M62" si="57">D176+D180+D181+D175+D177</f>
        <v>20393.25</v>
      </c>
      <c r="E62" s="3">
        <f t="shared" si="57"/>
        <v>17847.68</v>
      </c>
      <c r="F62" s="3">
        <f t="shared" si="57"/>
        <v>17603.449999999997</v>
      </c>
      <c r="G62" s="3">
        <f t="shared" si="57"/>
        <v>14073.55</v>
      </c>
      <c r="H62" s="3">
        <f t="shared" ref="H62" si="58">H176+H180+H181+H175+H177</f>
        <v>12245.060000000001</v>
      </c>
      <c r="I62" s="3">
        <f t="shared" si="57"/>
        <v>18464.39</v>
      </c>
      <c r="J62" s="3">
        <f t="shared" si="57"/>
        <v>0</v>
      </c>
      <c r="K62" s="3">
        <f t="shared" si="57"/>
        <v>0</v>
      </c>
      <c r="L62" s="3">
        <f t="shared" si="57"/>
        <v>0</v>
      </c>
      <c r="M62" s="3">
        <f t="shared" si="57"/>
        <v>0</v>
      </c>
      <c r="N62" s="49">
        <f t="shared" si="50"/>
        <v>140565.29999999999</v>
      </c>
      <c r="P62" s="49">
        <f t="shared" si="3"/>
        <v>12778.663636363635</v>
      </c>
      <c r="Q62" s="49">
        <f t="shared" si="4"/>
        <v>-12778.663636363635</v>
      </c>
    </row>
    <row r="63" spans="1:17" x14ac:dyDescent="0.25">
      <c r="A63" s="105" t="s">
        <v>49</v>
      </c>
      <c r="B63" s="3">
        <f>B173</f>
        <v>28233.33</v>
      </c>
      <c r="C63" s="3">
        <f>C173</f>
        <v>28233.33</v>
      </c>
      <c r="D63" s="3">
        <f>D173</f>
        <v>28595.83</v>
      </c>
      <c r="E63" s="3">
        <f t="shared" ref="E63:J63" si="59">E173</f>
        <v>28233.33</v>
      </c>
      <c r="F63" s="3">
        <f>F173</f>
        <v>28233.33</v>
      </c>
      <c r="G63" s="49">
        <f t="shared" si="59"/>
        <v>7627.91</v>
      </c>
      <c r="H63" s="49">
        <f t="shared" ref="H63" si="60">H173</f>
        <v>28233.33</v>
      </c>
      <c r="I63" s="49">
        <f t="shared" si="59"/>
        <v>28233.33</v>
      </c>
      <c r="J63" s="49">
        <f t="shared" si="59"/>
        <v>0</v>
      </c>
      <c r="K63" s="49">
        <f>K173</f>
        <v>0</v>
      </c>
      <c r="L63" s="49">
        <f>L173</f>
        <v>0</v>
      </c>
      <c r="M63" s="49">
        <f>M173</f>
        <v>0</v>
      </c>
      <c r="N63" s="49">
        <f t="shared" si="50"/>
        <v>205623.72000000003</v>
      </c>
      <c r="P63" s="49">
        <f t="shared" si="3"/>
        <v>18693.065454545456</v>
      </c>
      <c r="Q63" s="49">
        <f t="shared" si="4"/>
        <v>-18693.065454545456</v>
      </c>
    </row>
    <row r="64" spans="1:17" x14ac:dyDescent="0.25">
      <c r="A64" s="105" t="s">
        <v>50</v>
      </c>
      <c r="B64" s="49">
        <v>0</v>
      </c>
      <c r="C64" s="49">
        <v>0</v>
      </c>
      <c r="D64" s="49">
        <v>0</v>
      </c>
      <c r="E64" s="3">
        <v>0</v>
      </c>
      <c r="F64" s="3">
        <v>0</v>
      </c>
      <c r="G64" s="49">
        <v>0</v>
      </c>
      <c r="H64" s="49">
        <v>0</v>
      </c>
      <c r="I64" s="49">
        <v>0</v>
      </c>
      <c r="J64" s="49"/>
      <c r="K64" s="49"/>
      <c r="L64" s="49"/>
      <c r="M64" s="49"/>
      <c r="N64" s="49">
        <f t="shared" si="50"/>
        <v>0</v>
      </c>
      <c r="P64" s="49">
        <f t="shared" si="3"/>
        <v>0</v>
      </c>
      <c r="Q64" s="49">
        <f t="shared" si="4"/>
        <v>0</v>
      </c>
    </row>
    <row r="65" spans="1:17" x14ac:dyDescent="0.25">
      <c r="A65" s="105" t="s">
        <v>51</v>
      </c>
      <c r="B65" s="11">
        <f>B174</f>
        <v>0</v>
      </c>
      <c r="C65" s="11">
        <f>C174</f>
        <v>878</v>
      </c>
      <c r="D65" s="20">
        <f>D174</f>
        <v>0</v>
      </c>
      <c r="E65" s="49">
        <f t="shared" ref="E65:K65" si="61">E174</f>
        <v>0</v>
      </c>
      <c r="F65" s="49">
        <f>F174</f>
        <v>620</v>
      </c>
      <c r="G65" s="49">
        <f t="shared" si="61"/>
        <v>0</v>
      </c>
      <c r="H65" s="49">
        <f t="shared" ref="H65" si="62">H174</f>
        <v>12</v>
      </c>
      <c r="I65" s="49">
        <f t="shared" si="61"/>
        <v>0</v>
      </c>
      <c r="J65" s="49">
        <f t="shared" si="61"/>
        <v>0</v>
      </c>
      <c r="K65" s="49">
        <f t="shared" si="61"/>
        <v>0</v>
      </c>
      <c r="L65" s="49">
        <f>L174</f>
        <v>0</v>
      </c>
      <c r="M65" s="49">
        <f>M174</f>
        <v>0</v>
      </c>
      <c r="N65" s="49">
        <f t="shared" si="50"/>
        <v>1510</v>
      </c>
      <c r="P65" s="49">
        <f t="shared" si="3"/>
        <v>137.27272727272728</v>
      </c>
      <c r="Q65" s="49">
        <f t="shared" si="4"/>
        <v>-137.27272727272728</v>
      </c>
    </row>
    <row r="66" spans="1:17" x14ac:dyDescent="0.25">
      <c r="A66" s="105" t="s">
        <v>52</v>
      </c>
      <c r="B66" s="21">
        <f>SUM(B58:B65)</f>
        <v>268157</v>
      </c>
      <c r="C66" s="21">
        <f t="shared" ref="C66:M66" si="63">SUM(C58:C65)</f>
        <v>300130.76000000007</v>
      </c>
      <c r="D66" s="11">
        <f t="shared" si="63"/>
        <v>223363.31</v>
      </c>
      <c r="E66" s="21">
        <f t="shared" si="63"/>
        <v>159754.22999999998</v>
      </c>
      <c r="F66" s="21">
        <f t="shared" si="63"/>
        <v>169083.66000000003</v>
      </c>
      <c r="G66" s="21">
        <f t="shared" si="63"/>
        <v>99118.21</v>
      </c>
      <c r="H66" s="21">
        <f t="shared" ref="H66" si="64">SUM(H58:H65)</f>
        <v>208661.74</v>
      </c>
      <c r="I66" s="21">
        <f t="shared" si="63"/>
        <v>359108.54000000004</v>
      </c>
      <c r="J66" s="21">
        <f t="shared" si="63"/>
        <v>0</v>
      </c>
      <c r="K66" s="21">
        <f t="shared" si="63"/>
        <v>0</v>
      </c>
      <c r="L66" s="21">
        <f t="shared" si="63"/>
        <v>0</v>
      </c>
      <c r="M66" s="21">
        <f t="shared" si="63"/>
        <v>0</v>
      </c>
      <c r="N66" s="21">
        <f>SUM(N58:N65)</f>
        <v>1787377.45</v>
      </c>
      <c r="P66" s="21">
        <f t="shared" si="3"/>
        <v>162488.8590909091</v>
      </c>
      <c r="Q66" s="21">
        <f t="shared" si="4"/>
        <v>-162488.8590909091</v>
      </c>
    </row>
    <row r="67" spans="1:17" x14ac:dyDescent="0.25">
      <c r="A67" s="105" t="s">
        <v>53</v>
      </c>
      <c r="B67" s="22">
        <f>+B56-B66</f>
        <v>-179885.99</v>
      </c>
      <c r="C67" s="22">
        <f t="shared" ref="C67:N67" si="65">+C56-C66</f>
        <v>-185059.40000000008</v>
      </c>
      <c r="D67" s="22">
        <f t="shared" si="65"/>
        <v>-107826.16</v>
      </c>
      <c r="E67" s="22">
        <f t="shared" si="65"/>
        <v>-112146.59999999998</v>
      </c>
      <c r="F67" s="22">
        <f t="shared" si="65"/>
        <v>-89126.310000000027</v>
      </c>
      <c r="G67" s="22">
        <f t="shared" si="65"/>
        <v>-46955.010000000009</v>
      </c>
      <c r="H67" s="22">
        <f t="shared" ref="H67" si="66">+H56-H66</f>
        <v>-89108.409999999989</v>
      </c>
      <c r="I67" s="22">
        <f t="shared" si="65"/>
        <v>-313178.53000000003</v>
      </c>
      <c r="J67" s="22">
        <f t="shared" si="65"/>
        <v>0</v>
      </c>
      <c r="K67" s="22">
        <f t="shared" si="65"/>
        <v>0</v>
      </c>
      <c r="L67" s="22">
        <f t="shared" si="65"/>
        <v>0</v>
      </c>
      <c r="M67" s="22">
        <f t="shared" si="65"/>
        <v>0</v>
      </c>
      <c r="N67" s="22">
        <f t="shared" si="65"/>
        <v>-1123286.4099999999</v>
      </c>
      <c r="P67" s="22">
        <f t="shared" si="3"/>
        <v>-102116.94636363635</v>
      </c>
      <c r="Q67" s="22">
        <f t="shared" si="4"/>
        <v>102116.94636363635</v>
      </c>
    </row>
    <row r="68" spans="1:17" x14ac:dyDescent="0.25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9"/>
      <c r="P68" s="9">
        <f t="shared" si="3"/>
        <v>0</v>
      </c>
      <c r="Q68" s="9">
        <f t="shared" si="4"/>
        <v>0</v>
      </c>
    </row>
    <row r="69" spans="1:17" x14ac:dyDescent="0.25">
      <c r="A69" s="105" t="s">
        <v>54</v>
      </c>
      <c r="B69" s="3">
        <f t="shared" ref="B69:G69" si="67">B204</f>
        <v>405193.11</v>
      </c>
      <c r="C69" s="3">
        <f t="shared" si="67"/>
        <v>341937.99000000005</v>
      </c>
      <c r="D69" s="3">
        <f t="shared" si="67"/>
        <v>343625.55</v>
      </c>
      <c r="E69" s="3">
        <f t="shared" si="67"/>
        <v>353871.56</v>
      </c>
      <c r="F69" s="3">
        <f t="shared" si="67"/>
        <v>420339.36000000004</v>
      </c>
      <c r="G69" s="49">
        <f t="shared" si="67"/>
        <v>403802.07</v>
      </c>
      <c r="H69" s="49">
        <f t="shared" ref="H69:I69" si="68">H204</f>
        <v>404965.73</v>
      </c>
      <c r="I69" s="49">
        <f t="shared" si="68"/>
        <v>398996.33</v>
      </c>
      <c r="J69" s="49">
        <f>J204</f>
        <v>0</v>
      </c>
      <c r="K69" s="49">
        <f>K204</f>
        <v>0</v>
      </c>
      <c r="L69" s="49">
        <f>L204</f>
        <v>0</v>
      </c>
      <c r="M69" s="49">
        <f>M204</f>
        <v>0</v>
      </c>
      <c r="N69" s="49">
        <f>SUM(B69:M69)</f>
        <v>3072731.7</v>
      </c>
      <c r="P69" s="49">
        <f t="shared" si="3"/>
        <v>279339.24545454548</v>
      </c>
      <c r="Q69" s="49">
        <f t="shared" si="4"/>
        <v>-279339.24545454548</v>
      </c>
    </row>
    <row r="70" spans="1:17" x14ac:dyDescent="0.25">
      <c r="A70" s="105" t="s">
        <v>55</v>
      </c>
      <c r="B70" s="3">
        <f t="shared" ref="B70:G70" si="69">B223</f>
        <v>196640.18</v>
      </c>
      <c r="C70" s="3">
        <f t="shared" si="69"/>
        <v>189381.89</v>
      </c>
      <c r="D70" s="3">
        <f t="shared" si="69"/>
        <v>195764.02000000002</v>
      </c>
      <c r="E70" s="3">
        <f t="shared" si="69"/>
        <v>187712.74</v>
      </c>
      <c r="F70" s="3">
        <f t="shared" si="69"/>
        <v>186399.78</v>
      </c>
      <c r="G70" s="49">
        <f t="shared" si="69"/>
        <v>206284.2</v>
      </c>
      <c r="H70" s="49">
        <f>H223</f>
        <v>214608.83</v>
      </c>
      <c r="I70" s="49">
        <f t="shared" ref="I70" si="70">I223</f>
        <v>186243.88999999998</v>
      </c>
      <c r="J70" s="49">
        <f>J223</f>
        <v>0</v>
      </c>
      <c r="K70" s="49">
        <f>K223</f>
        <v>0</v>
      </c>
      <c r="L70" s="49">
        <f>L223</f>
        <v>0</v>
      </c>
      <c r="M70" s="49">
        <f>M223</f>
        <v>0</v>
      </c>
      <c r="N70" s="49">
        <f>SUM(B70:M70)</f>
        <v>1563035.53</v>
      </c>
      <c r="P70" s="49">
        <f t="shared" si="3"/>
        <v>142094.1390909091</v>
      </c>
      <c r="Q70" s="49">
        <f t="shared" si="4"/>
        <v>-142094.1390909091</v>
      </c>
    </row>
    <row r="71" spans="1:17" x14ac:dyDescent="0.25">
      <c r="A71" s="105" t="s">
        <v>56</v>
      </c>
      <c r="B71" s="3">
        <f t="shared" ref="B71:G71" si="71">B255</f>
        <v>111240.83</v>
      </c>
      <c r="C71" s="3">
        <f t="shared" si="71"/>
        <v>91232.06</v>
      </c>
      <c r="D71" s="3">
        <f t="shared" si="71"/>
        <v>94277.48000000001</v>
      </c>
      <c r="E71" s="3">
        <f t="shared" si="71"/>
        <v>88611.98000000001</v>
      </c>
      <c r="F71" s="3">
        <f t="shared" si="71"/>
        <v>89444.540000000008</v>
      </c>
      <c r="G71" s="49">
        <f t="shared" si="71"/>
        <v>103146.35</v>
      </c>
      <c r="H71" s="49">
        <f t="shared" ref="H71:I71" si="72">H255</f>
        <v>118506.03</v>
      </c>
      <c r="I71" s="49">
        <f t="shared" si="72"/>
        <v>113578.72000000002</v>
      </c>
      <c r="J71" s="49">
        <f>J255</f>
        <v>0</v>
      </c>
      <c r="K71" s="49">
        <f>K255</f>
        <v>0</v>
      </c>
      <c r="L71" s="49">
        <f>L255</f>
        <v>0</v>
      </c>
      <c r="M71" s="49">
        <f>M255</f>
        <v>0</v>
      </c>
      <c r="N71" s="49">
        <f>SUM(B71:M71)</f>
        <v>810037.99</v>
      </c>
      <c r="P71" s="49">
        <f t="shared" ref="P71:P136" si="73">(N71-M71)/11</f>
        <v>73639.817272727276</v>
      </c>
      <c r="Q71" s="49">
        <f t="shared" ref="Q71:Q136" si="74">M71-P71</f>
        <v>-73639.817272727276</v>
      </c>
    </row>
    <row r="72" spans="1:17" x14ac:dyDescent="0.25">
      <c r="A72" s="105" t="s">
        <v>57</v>
      </c>
      <c r="B72" s="11">
        <f t="shared" ref="B72:G72" si="75">-B270</f>
        <v>-81297.39</v>
      </c>
      <c r="C72" s="11">
        <f t="shared" si="75"/>
        <v>-60573.55</v>
      </c>
      <c r="D72" s="11">
        <f t="shared" si="75"/>
        <v>-54599.840000000004</v>
      </c>
      <c r="E72" s="10">
        <f t="shared" si="75"/>
        <v>-82044.150000000009</v>
      </c>
      <c r="F72" s="10">
        <f t="shared" si="75"/>
        <v>-105834.51000000001</v>
      </c>
      <c r="G72" s="10">
        <f t="shared" si="75"/>
        <v>-92499.849999999991</v>
      </c>
      <c r="H72" s="49">
        <f t="shared" ref="H72:I72" si="76">-H270</f>
        <v>-94568.209999999992</v>
      </c>
      <c r="I72" s="49">
        <f t="shared" si="76"/>
        <v>-83366.98</v>
      </c>
      <c r="J72" s="49">
        <f>-J270</f>
        <v>0</v>
      </c>
      <c r="K72" s="49">
        <f>-K270</f>
        <v>0</v>
      </c>
      <c r="L72" s="49">
        <f>-L270</f>
        <v>0</v>
      </c>
      <c r="M72" s="49">
        <f>-M270</f>
        <v>0</v>
      </c>
      <c r="N72" s="49">
        <f>SUM(B72:M72)</f>
        <v>-654784.48</v>
      </c>
      <c r="P72" s="49">
        <f t="shared" si="73"/>
        <v>-59525.861818181816</v>
      </c>
      <c r="Q72" s="49">
        <f t="shared" si="74"/>
        <v>59525.861818181816</v>
      </c>
    </row>
    <row r="73" spans="1:17" x14ac:dyDescent="0.25">
      <c r="A73" s="105" t="s">
        <v>58</v>
      </c>
      <c r="B73" s="11">
        <f>B128</f>
        <v>-3595.4</v>
      </c>
      <c r="C73" s="11">
        <f>C128</f>
        <v>-2471.31</v>
      </c>
      <c r="D73" s="11">
        <f>D128</f>
        <v>-4621.22</v>
      </c>
      <c r="E73" s="10">
        <f t="shared" ref="E73:J73" si="77">E128</f>
        <v>-5799.91</v>
      </c>
      <c r="F73" s="10">
        <f>F128</f>
        <v>-1360.64</v>
      </c>
      <c r="G73" s="10">
        <f t="shared" si="77"/>
        <v>-1536.21</v>
      </c>
      <c r="H73" s="49">
        <f t="shared" ref="H73" si="78">H128</f>
        <v>-2242.15</v>
      </c>
      <c r="I73" s="49">
        <f t="shared" si="77"/>
        <v>-4335.7700000000004</v>
      </c>
      <c r="J73" s="49">
        <f t="shared" si="77"/>
        <v>0</v>
      </c>
      <c r="K73" s="49">
        <f>K128</f>
        <v>0</v>
      </c>
      <c r="L73" s="49">
        <f>L128</f>
        <v>0</v>
      </c>
      <c r="M73" s="49">
        <f>M128</f>
        <v>0</v>
      </c>
      <c r="N73" s="49">
        <f>SUM(B73:M73)</f>
        <v>-25962.61</v>
      </c>
      <c r="P73" s="49">
        <f t="shared" si="73"/>
        <v>-2360.2372727272727</v>
      </c>
      <c r="Q73" s="49">
        <f t="shared" si="74"/>
        <v>2360.2372727272727</v>
      </c>
    </row>
    <row r="74" spans="1:17" x14ac:dyDescent="0.25">
      <c r="A74" s="105" t="s">
        <v>59</v>
      </c>
      <c r="B74" s="6">
        <f>SUM(B69:B73)</f>
        <v>628181.32999999996</v>
      </c>
      <c r="C74" s="6">
        <f>SUM(C69:C73)</f>
        <v>559507.08000000007</v>
      </c>
      <c r="D74" s="6">
        <f t="shared" ref="D74:L74" si="79">SUM(D69:D73)</f>
        <v>574445.99000000011</v>
      </c>
      <c r="E74" s="6">
        <f>SUM(E69:E73)</f>
        <v>542352.22</v>
      </c>
      <c r="F74" s="6">
        <f t="shared" si="79"/>
        <v>588988.53</v>
      </c>
      <c r="G74" s="6">
        <f t="shared" si="79"/>
        <v>619196.56000000006</v>
      </c>
      <c r="H74" s="6">
        <f>SUM(H69:H73)</f>
        <v>641270.23</v>
      </c>
      <c r="I74" s="6">
        <f>SUM(I69:I73)</f>
        <v>611116.18999999994</v>
      </c>
      <c r="J74" s="6">
        <f t="shared" si="79"/>
        <v>0</v>
      </c>
      <c r="K74" s="6">
        <f t="shared" si="79"/>
        <v>0</v>
      </c>
      <c r="L74" s="6">
        <f t="shared" si="79"/>
        <v>0</v>
      </c>
      <c r="M74" s="6">
        <f>SUM(M69:M73)</f>
        <v>0</v>
      </c>
      <c r="N74" s="6">
        <f>SUM(N69:N73)</f>
        <v>4765058.13</v>
      </c>
      <c r="P74" s="6">
        <f t="shared" si="73"/>
        <v>433187.10272727272</v>
      </c>
      <c r="Q74" s="6">
        <f t="shared" si="74"/>
        <v>-433187.10272727272</v>
      </c>
    </row>
    <row r="75" spans="1:17" ht="27" customHeight="1" thickBot="1" x14ac:dyDescent="0.3">
      <c r="A75" s="105" t="s">
        <v>60</v>
      </c>
      <c r="B75" s="28">
        <f t="shared" ref="B75:N75" si="80">+B35+B67-B74</f>
        <v>65733.430000119261</v>
      </c>
      <c r="C75" s="28">
        <f t="shared" si="80"/>
        <v>62568.989999789977</v>
      </c>
      <c r="D75" s="28">
        <f t="shared" si="80"/>
        <v>190852.60999993072</v>
      </c>
      <c r="E75" s="28">
        <f t="shared" si="80"/>
        <v>-70572.120000041672</v>
      </c>
      <c r="F75" s="28">
        <f t="shared" si="80"/>
        <v>-203742.99999999651</v>
      </c>
      <c r="G75" s="28">
        <f t="shared" si="80"/>
        <v>-88358.510000057286</v>
      </c>
      <c r="H75" s="28">
        <f t="shared" si="80"/>
        <v>-303625.03999997611</v>
      </c>
      <c r="I75" s="28">
        <f t="shared" si="80"/>
        <v>-208857.14999994752</v>
      </c>
      <c r="J75" s="28">
        <f t="shared" si="80"/>
        <v>0</v>
      </c>
      <c r="K75" s="28">
        <f t="shared" si="80"/>
        <v>0</v>
      </c>
      <c r="L75" s="28">
        <f t="shared" si="80"/>
        <v>0</v>
      </c>
      <c r="M75" s="28">
        <f t="shared" si="80"/>
        <v>0</v>
      </c>
      <c r="N75" s="28">
        <f t="shared" si="80"/>
        <v>-556000.78999904636</v>
      </c>
      <c r="P75" s="28">
        <f t="shared" si="73"/>
        <v>-50545.526363549667</v>
      </c>
      <c r="Q75" s="28">
        <f t="shared" si="74"/>
        <v>50545.526363549667</v>
      </c>
    </row>
    <row r="76" spans="1:17" ht="15.75" thickTop="1" x14ac:dyDescent="0.2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P76" s="5">
        <f t="shared" si="73"/>
        <v>0</v>
      </c>
      <c r="Q76" s="5">
        <f t="shared" si="74"/>
        <v>0</v>
      </c>
    </row>
    <row r="77" spans="1:17" x14ac:dyDescent="0.25">
      <c r="A77" s="105" t="s">
        <v>61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P77" s="5">
        <f t="shared" si="73"/>
        <v>0</v>
      </c>
      <c r="Q77" s="5">
        <f t="shared" si="74"/>
        <v>0</v>
      </c>
    </row>
    <row r="78" spans="1:17" x14ac:dyDescent="0.2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P78" s="49">
        <f t="shared" si="73"/>
        <v>0</v>
      </c>
      <c r="Q78" s="49">
        <f t="shared" si="74"/>
        <v>0</v>
      </c>
    </row>
    <row r="79" spans="1:17" hidden="1" x14ac:dyDescent="0.25">
      <c r="B79" s="49">
        <f t="shared" ref="B79:K79" si="81">+B75-B78</f>
        <v>65733.430000119261</v>
      </c>
      <c r="C79" s="49">
        <f t="shared" si="81"/>
        <v>62568.989999789977</v>
      </c>
      <c r="D79" s="49">
        <f t="shared" si="81"/>
        <v>190852.60999993072</v>
      </c>
      <c r="E79" s="49">
        <f t="shared" si="81"/>
        <v>-70572.120000041672</v>
      </c>
      <c r="F79" s="49">
        <f t="shared" si="81"/>
        <v>-203742.99999999651</v>
      </c>
      <c r="G79" s="49">
        <f t="shared" si="81"/>
        <v>-88358.510000057286</v>
      </c>
      <c r="H79" s="49">
        <f t="shared" ref="H79" si="82">+H75-H78</f>
        <v>-303625.03999997611</v>
      </c>
      <c r="I79" s="49">
        <f t="shared" si="81"/>
        <v>-208857.14999994752</v>
      </c>
      <c r="J79" s="49">
        <f t="shared" si="81"/>
        <v>0</v>
      </c>
      <c r="K79" s="49">
        <f t="shared" si="81"/>
        <v>0</v>
      </c>
      <c r="L79" s="49">
        <v>0</v>
      </c>
      <c r="M79" s="49"/>
      <c r="N79" s="49">
        <v>0</v>
      </c>
      <c r="P79" s="49">
        <f t="shared" si="73"/>
        <v>0</v>
      </c>
      <c r="Q79" s="49">
        <f t="shared" si="74"/>
        <v>0</v>
      </c>
    </row>
    <row r="80" spans="1:17" ht="15.75" thickBot="1" x14ac:dyDescent="0.3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P80" s="5">
        <f t="shared" si="73"/>
        <v>0</v>
      </c>
      <c r="Q80" s="5">
        <f t="shared" si="74"/>
        <v>0</v>
      </c>
    </row>
    <row r="81" spans="1:17" x14ac:dyDescent="0.25">
      <c r="A81" s="109" t="s">
        <v>62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4"/>
      <c r="P81" s="24">
        <f t="shared" si="73"/>
        <v>0</v>
      </c>
      <c r="Q81" s="24">
        <f t="shared" si="74"/>
        <v>0</v>
      </c>
    </row>
    <row r="82" spans="1:17" x14ac:dyDescent="0.25">
      <c r="A82" s="110" t="s">
        <v>39</v>
      </c>
      <c r="B82" s="4">
        <f t="shared" ref="B82:E83" si="83">+B52</f>
        <v>0</v>
      </c>
      <c r="C82" s="4">
        <f t="shared" si="83"/>
        <v>0</v>
      </c>
      <c r="D82" s="4">
        <f t="shared" si="83"/>
        <v>0</v>
      </c>
      <c r="E82" s="4">
        <f t="shared" si="83"/>
        <v>0</v>
      </c>
      <c r="F82" s="4">
        <f>F103</f>
        <v>0</v>
      </c>
      <c r="G82" s="4">
        <f t="shared" ref="G82:M83" si="84">+G52</f>
        <v>0</v>
      </c>
      <c r="H82" s="4">
        <f t="shared" ref="H82" si="85">+H52</f>
        <v>0</v>
      </c>
      <c r="I82" s="4">
        <f t="shared" si="84"/>
        <v>0</v>
      </c>
      <c r="J82" s="4">
        <f t="shared" si="84"/>
        <v>0</v>
      </c>
      <c r="K82" s="4">
        <f t="shared" si="84"/>
        <v>0</v>
      </c>
      <c r="L82" s="4">
        <f t="shared" si="84"/>
        <v>0</v>
      </c>
      <c r="M82" s="4">
        <f t="shared" si="84"/>
        <v>0</v>
      </c>
      <c r="N82" s="25">
        <f>SUM(B82:M82)</f>
        <v>0</v>
      </c>
      <c r="P82" s="25">
        <f t="shared" si="73"/>
        <v>0</v>
      </c>
      <c r="Q82" s="25">
        <f t="shared" si="74"/>
        <v>0</v>
      </c>
    </row>
    <row r="83" spans="1:17" x14ac:dyDescent="0.25">
      <c r="A83" s="110" t="s">
        <v>63</v>
      </c>
      <c r="B83" s="4">
        <f t="shared" si="83"/>
        <v>44174.48</v>
      </c>
      <c r="C83" s="4">
        <f t="shared" si="83"/>
        <v>37026.959999999999</v>
      </c>
      <c r="D83" s="4">
        <f t="shared" si="83"/>
        <v>50952.97</v>
      </c>
      <c r="E83" s="4">
        <f t="shared" si="83"/>
        <v>17383</v>
      </c>
      <c r="F83" s="4">
        <f>F109+F120</f>
        <v>6537.5</v>
      </c>
      <c r="G83" s="4">
        <f t="shared" si="84"/>
        <v>12690.5</v>
      </c>
      <c r="H83" s="4">
        <f t="shared" ref="H83" si="86">+H53</f>
        <v>14136.99</v>
      </c>
      <c r="I83" s="4">
        <f t="shared" si="84"/>
        <v>3546</v>
      </c>
      <c r="J83" s="4">
        <f t="shared" si="84"/>
        <v>0</v>
      </c>
      <c r="K83" s="4">
        <f t="shared" si="84"/>
        <v>0</v>
      </c>
      <c r="L83" s="4">
        <f t="shared" si="84"/>
        <v>0</v>
      </c>
      <c r="M83" s="4">
        <f t="shared" si="84"/>
        <v>0</v>
      </c>
      <c r="N83" s="25">
        <f>SUM(B83:M83)</f>
        <v>186448.4</v>
      </c>
      <c r="P83" s="25">
        <f t="shared" si="73"/>
        <v>16949.854545454546</v>
      </c>
      <c r="Q83" s="25">
        <f t="shared" si="74"/>
        <v>-16949.854545454546</v>
      </c>
    </row>
    <row r="84" spans="1:17" x14ac:dyDescent="0.25">
      <c r="A84" s="110" t="s">
        <v>64</v>
      </c>
      <c r="B84" s="6">
        <f>SUM(B82:B83)</f>
        <v>44174.48</v>
      </c>
      <c r="C84" s="6">
        <f t="shared" ref="C84:J84" si="87">SUM(C82:C83)</f>
        <v>37026.959999999999</v>
      </c>
      <c r="D84" s="6">
        <f t="shared" si="87"/>
        <v>50952.97</v>
      </c>
      <c r="E84" s="6">
        <f t="shared" si="87"/>
        <v>17383</v>
      </c>
      <c r="F84" s="6">
        <f t="shared" si="87"/>
        <v>6537.5</v>
      </c>
      <c r="G84" s="6">
        <f t="shared" si="87"/>
        <v>12690.5</v>
      </c>
      <c r="H84" s="6">
        <f t="shared" ref="H84" si="88">SUM(H82:H83)</f>
        <v>14136.99</v>
      </c>
      <c r="I84" s="6">
        <f t="shared" si="87"/>
        <v>3546</v>
      </c>
      <c r="J84" s="6">
        <f t="shared" si="87"/>
        <v>0</v>
      </c>
      <c r="K84" s="6">
        <f>SUM(K82:K83)</f>
        <v>0</v>
      </c>
      <c r="L84" s="6">
        <f>SUM(L82:L83)</f>
        <v>0</v>
      </c>
      <c r="M84" s="6">
        <f>SUM(M82:M83)</f>
        <v>0</v>
      </c>
      <c r="N84" s="26">
        <f>SUM(N82:N83)</f>
        <v>186448.4</v>
      </c>
      <c r="P84" s="26">
        <f t="shared" si="73"/>
        <v>16949.854545454546</v>
      </c>
      <c r="Q84" s="26">
        <f t="shared" si="74"/>
        <v>-16949.854545454546</v>
      </c>
    </row>
    <row r="85" spans="1:17" x14ac:dyDescent="0.25">
      <c r="A85" s="11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27"/>
      <c r="P85" s="27">
        <f t="shared" si="73"/>
        <v>0</v>
      </c>
      <c r="Q85" s="27">
        <f t="shared" si="74"/>
        <v>0</v>
      </c>
    </row>
    <row r="86" spans="1:17" x14ac:dyDescent="0.25">
      <c r="A86" s="110" t="s">
        <v>65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27"/>
      <c r="P86" s="27">
        <f t="shared" si="73"/>
        <v>0</v>
      </c>
      <c r="Q86" s="27">
        <f t="shared" si="74"/>
        <v>0</v>
      </c>
    </row>
    <row r="87" spans="1:17" x14ac:dyDescent="0.25">
      <c r="A87" s="110" t="s">
        <v>66</v>
      </c>
      <c r="B87" s="4">
        <f>+B58</f>
        <v>0</v>
      </c>
      <c r="C87" s="4">
        <f>+C58</f>
        <v>0</v>
      </c>
      <c r="D87" s="4">
        <f>+D58</f>
        <v>0</v>
      </c>
      <c r="E87" s="4">
        <f>+E58</f>
        <v>0</v>
      </c>
      <c r="F87" s="4">
        <f>F129</f>
        <v>0</v>
      </c>
      <c r="G87" s="4">
        <f t="shared" ref="G87:M87" si="89">+G58</f>
        <v>0</v>
      </c>
      <c r="H87" s="4">
        <f t="shared" ref="H87" si="90">+H58</f>
        <v>0</v>
      </c>
      <c r="I87" s="4">
        <f t="shared" si="89"/>
        <v>0</v>
      </c>
      <c r="J87" s="4">
        <f t="shared" si="89"/>
        <v>0</v>
      </c>
      <c r="K87" s="4">
        <f t="shared" si="89"/>
        <v>0</v>
      </c>
      <c r="L87" s="4">
        <f t="shared" si="89"/>
        <v>0</v>
      </c>
      <c r="M87" s="4">
        <f t="shared" si="89"/>
        <v>0</v>
      </c>
      <c r="N87" s="25">
        <f>SUM(B87:M87)</f>
        <v>0</v>
      </c>
      <c r="P87" s="25">
        <f t="shared" si="73"/>
        <v>0</v>
      </c>
      <c r="Q87" s="25">
        <f t="shared" si="74"/>
        <v>0</v>
      </c>
    </row>
    <row r="88" spans="1:17" x14ac:dyDescent="0.25">
      <c r="A88" s="110" t="s">
        <v>67</v>
      </c>
      <c r="B88" s="4">
        <f t="shared" ref="B88:G88" si="91">B135</f>
        <v>47744.73</v>
      </c>
      <c r="C88" s="4">
        <f t="shared" si="91"/>
        <v>40318.61</v>
      </c>
      <c r="D88" s="4">
        <f t="shared" si="91"/>
        <v>53566.29</v>
      </c>
      <c r="E88" s="4">
        <f t="shared" si="91"/>
        <v>-3427.84</v>
      </c>
      <c r="F88" s="4">
        <f t="shared" si="91"/>
        <v>5808.03</v>
      </c>
      <c r="G88" s="4">
        <f t="shared" si="91"/>
        <v>11225.63</v>
      </c>
      <c r="H88" s="4">
        <f t="shared" ref="H88:L88" si="92">+H59</f>
        <v>20530.47</v>
      </c>
      <c r="I88" s="4">
        <f t="shared" si="92"/>
        <v>5400.13</v>
      </c>
      <c r="J88" s="4">
        <f t="shared" si="92"/>
        <v>0</v>
      </c>
      <c r="K88" s="4">
        <f t="shared" si="92"/>
        <v>0</v>
      </c>
      <c r="L88" s="4">
        <f t="shared" si="92"/>
        <v>0</v>
      </c>
      <c r="M88" s="4"/>
      <c r="N88" s="25">
        <f>SUM(B88:M88)</f>
        <v>181166.05000000002</v>
      </c>
      <c r="P88" s="25">
        <f t="shared" si="73"/>
        <v>16469.640909090911</v>
      </c>
      <c r="Q88" s="25">
        <f t="shared" si="74"/>
        <v>-16469.640909090911</v>
      </c>
    </row>
    <row r="89" spans="1:17" x14ac:dyDescent="0.25">
      <c r="A89" s="110" t="s">
        <v>68</v>
      </c>
      <c r="B89" s="4">
        <f t="shared" ref="B89:L89" si="93">B167</f>
        <v>0</v>
      </c>
      <c r="C89" s="4">
        <f t="shared" si="93"/>
        <v>800</v>
      </c>
      <c r="D89" s="4">
        <f t="shared" si="93"/>
        <v>0</v>
      </c>
      <c r="E89" s="4">
        <f t="shared" si="93"/>
        <v>0</v>
      </c>
      <c r="F89" s="4">
        <f t="shared" si="93"/>
        <v>0</v>
      </c>
      <c r="G89" s="4">
        <f t="shared" si="93"/>
        <v>0</v>
      </c>
      <c r="H89" s="4">
        <f t="shared" ref="H89" si="94">H167</f>
        <v>0</v>
      </c>
      <c r="I89" s="4">
        <f t="shared" si="93"/>
        <v>0</v>
      </c>
      <c r="J89" s="4">
        <f t="shared" si="93"/>
        <v>0</v>
      </c>
      <c r="K89" s="4">
        <f t="shared" si="93"/>
        <v>0</v>
      </c>
      <c r="L89" s="4">
        <f t="shared" si="93"/>
        <v>0</v>
      </c>
      <c r="M89" s="4"/>
      <c r="N89" s="25">
        <f>SUM(B89:M89)</f>
        <v>800</v>
      </c>
      <c r="P89" s="25">
        <f t="shared" si="73"/>
        <v>72.727272727272734</v>
      </c>
      <c r="Q89" s="25">
        <f t="shared" si="74"/>
        <v>-72.727272727272734</v>
      </c>
    </row>
    <row r="90" spans="1:17" x14ac:dyDescent="0.25">
      <c r="A90" s="110" t="s">
        <v>69</v>
      </c>
      <c r="B90" s="4">
        <f>B179</f>
        <v>1.87</v>
      </c>
      <c r="C90" s="4">
        <f t="shared" ref="C90:M90" si="95">C179</f>
        <v>0</v>
      </c>
      <c r="D90" s="4">
        <f t="shared" si="95"/>
        <v>-115.12</v>
      </c>
      <c r="E90" s="4">
        <f t="shared" si="95"/>
        <v>3216.06</v>
      </c>
      <c r="F90" s="4">
        <f t="shared" si="95"/>
        <v>-2308</v>
      </c>
      <c r="G90" s="4">
        <f t="shared" si="95"/>
        <v>0</v>
      </c>
      <c r="H90" s="4">
        <f t="shared" ref="H90" si="96">H179</f>
        <v>0</v>
      </c>
      <c r="I90" s="4">
        <f t="shared" si="95"/>
        <v>0</v>
      </c>
      <c r="J90" s="4">
        <f t="shared" si="95"/>
        <v>0</v>
      </c>
      <c r="K90" s="4">
        <f t="shared" si="95"/>
        <v>0</v>
      </c>
      <c r="L90" s="4">
        <f t="shared" si="95"/>
        <v>0</v>
      </c>
      <c r="M90" s="4">
        <f t="shared" si="95"/>
        <v>0</v>
      </c>
      <c r="N90" s="25">
        <f>SUM(B90:M90)</f>
        <v>794.81</v>
      </c>
      <c r="P90" s="25">
        <f t="shared" si="73"/>
        <v>72.25545454545454</v>
      </c>
      <c r="Q90" s="25">
        <f t="shared" si="74"/>
        <v>-72.25545454545454</v>
      </c>
    </row>
    <row r="91" spans="1:17" x14ac:dyDescent="0.25">
      <c r="A91" s="110" t="s">
        <v>70</v>
      </c>
      <c r="B91" s="4">
        <f>B65</f>
        <v>0</v>
      </c>
      <c r="C91" s="4">
        <f>C65</f>
        <v>878</v>
      </c>
      <c r="D91" s="4">
        <f>D65</f>
        <v>0</v>
      </c>
      <c r="E91" s="4">
        <f>E65</f>
        <v>0</v>
      </c>
      <c r="F91" s="4">
        <f>F174</f>
        <v>620</v>
      </c>
      <c r="G91" s="4">
        <f t="shared" ref="G91:M91" si="97">G65</f>
        <v>0</v>
      </c>
      <c r="H91" s="4">
        <f t="shared" ref="H91" si="98">H65</f>
        <v>12</v>
      </c>
      <c r="I91" s="4">
        <f t="shared" si="97"/>
        <v>0</v>
      </c>
      <c r="J91" s="4">
        <f t="shared" si="97"/>
        <v>0</v>
      </c>
      <c r="K91" s="4">
        <f t="shared" si="97"/>
        <v>0</v>
      </c>
      <c r="L91" s="4">
        <f t="shared" si="97"/>
        <v>0</v>
      </c>
      <c r="M91" s="4">
        <f t="shared" si="97"/>
        <v>0</v>
      </c>
      <c r="N91" s="25">
        <f>SUM(B91:M91)</f>
        <v>1510</v>
      </c>
      <c r="P91" s="25">
        <f t="shared" si="73"/>
        <v>137.27272727272728</v>
      </c>
      <c r="Q91" s="25">
        <f t="shared" si="74"/>
        <v>-137.27272727272728</v>
      </c>
    </row>
    <row r="92" spans="1:17" x14ac:dyDescent="0.25">
      <c r="A92" s="110"/>
      <c r="B92" s="6">
        <f>SUM(B87:B91)</f>
        <v>47746.600000000006</v>
      </c>
      <c r="C92" s="6">
        <f t="shared" ref="C92:L92" si="99">SUM(C87:C91)</f>
        <v>41996.61</v>
      </c>
      <c r="D92" s="6">
        <f t="shared" si="99"/>
        <v>53451.17</v>
      </c>
      <c r="E92" s="6">
        <f t="shared" si="99"/>
        <v>-211.7800000000002</v>
      </c>
      <c r="F92" s="6">
        <f t="shared" si="99"/>
        <v>4120.03</v>
      </c>
      <c r="G92" s="6">
        <f t="shared" si="99"/>
        <v>11225.63</v>
      </c>
      <c r="H92" s="6">
        <f t="shared" ref="H92" si="100">SUM(H87:H91)</f>
        <v>20542.47</v>
      </c>
      <c r="I92" s="6">
        <f t="shared" si="99"/>
        <v>5400.13</v>
      </c>
      <c r="J92" s="6">
        <f t="shared" si="99"/>
        <v>0</v>
      </c>
      <c r="K92" s="6">
        <f t="shared" si="99"/>
        <v>0</v>
      </c>
      <c r="L92" s="6">
        <f t="shared" si="99"/>
        <v>0</v>
      </c>
      <c r="M92" s="6">
        <f>SUM(M87:M91)</f>
        <v>0</v>
      </c>
      <c r="N92" s="26">
        <f>SUM(N87:N91)</f>
        <v>184270.86000000002</v>
      </c>
      <c r="P92" s="26">
        <f t="shared" si="73"/>
        <v>16751.896363636366</v>
      </c>
      <c r="Q92" s="26">
        <f t="shared" si="74"/>
        <v>-16751.896363636366</v>
      </c>
    </row>
    <row r="93" spans="1:17" ht="27" customHeight="1" thickBot="1" x14ac:dyDescent="0.3">
      <c r="A93" s="110"/>
      <c r="B93" s="28">
        <f>+B84-B92</f>
        <v>-3572.1200000000026</v>
      </c>
      <c r="C93" s="28">
        <f t="shared" ref="C93:L93" si="101">+C84-C92</f>
        <v>-4969.6500000000015</v>
      </c>
      <c r="D93" s="28">
        <f t="shared" si="101"/>
        <v>-2498.1999999999971</v>
      </c>
      <c r="E93" s="28">
        <f t="shared" si="101"/>
        <v>17594.78</v>
      </c>
      <c r="F93" s="28">
        <f t="shared" si="101"/>
        <v>2417.4700000000003</v>
      </c>
      <c r="G93" s="28">
        <f t="shared" si="101"/>
        <v>1464.8700000000008</v>
      </c>
      <c r="H93" s="28">
        <f t="shared" ref="H93" si="102">+H84-H92</f>
        <v>-6405.4800000000014</v>
      </c>
      <c r="I93" s="28">
        <f t="shared" si="101"/>
        <v>-1854.13</v>
      </c>
      <c r="J93" s="28">
        <f t="shared" si="101"/>
        <v>0</v>
      </c>
      <c r="K93" s="28">
        <f t="shared" si="101"/>
        <v>0</v>
      </c>
      <c r="L93" s="28">
        <f t="shared" si="101"/>
        <v>0</v>
      </c>
      <c r="M93" s="28">
        <f>+M84-M92</f>
        <v>0</v>
      </c>
      <c r="N93" s="29">
        <f>+N84-N92</f>
        <v>2177.539999999979</v>
      </c>
      <c r="P93" s="29">
        <f t="shared" si="73"/>
        <v>197.95818181817992</v>
      </c>
      <c r="Q93" s="29">
        <f t="shared" si="74"/>
        <v>-197.95818181817992</v>
      </c>
    </row>
    <row r="94" spans="1:17" ht="16.5" thickTop="1" thickBot="1" x14ac:dyDescent="0.3">
      <c r="A94" s="111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1"/>
      <c r="P94" s="31">
        <f t="shared" si="73"/>
        <v>0</v>
      </c>
      <c r="Q94" s="31">
        <f t="shared" si="74"/>
        <v>0</v>
      </c>
    </row>
    <row r="95" spans="1:17" x14ac:dyDescent="0.2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P95" s="5">
        <f t="shared" si="73"/>
        <v>0</v>
      </c>
      <c r="Q95" s="5">
        <f t="shared" si="74"/>
        <v>0</v>
      </c>
    </row>
    <row r="96" spans="1:17" x14ac:dyDescent="0.2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P96" s="5">
        <f t="shared" si="73"/>
        <v>0</v>
      </c>
      <c r="Q96" s="5">
        <f t="shared" si="74"/>
        <v>0</v>
      </c>
    </row>
    <row r="97" spans="1:17" s="14" customFormat="1" ht="30.75" customHeight="1" x14ac:dyDescent="0.25">
      <c r="A97" s="107" t="s">
        <v>71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9">
        <f>SUM(B97:M97)</f>
        <v>0</v>
      </c>
      <c r="P97" s="9">
        <f t="shared" si="73"/>
        <v>0</v>
      </c>
      <c r="Q97" s="9">
        <f t="shared" si="74"/>
        <v>0</v>
      </c>
    </row>
    <row r="98" spans="1:17" x14ac:dyDescent="0.2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P98" s="5">
        <f t="shared" si="73"/>
        <v>0</v>
      </c>
      <c r="Q98" s="5">
        <f t="shared" si="74"/>
        <v>0</v>
      </c>
    </row>
    <row r="99" spans="1:17" x14ac:dyDescent="0.2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P99" s="5">
        <f t="shared" si="73"/>
        <v>0</v>
      </c>
      <c r="Q99" s="5">
        <f t="shared" si="74"/>
        <v>0</v>
      </c>
    </row>
    <row r="100" spans="1:17" x14ac:dyDescent="0.2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P100" s="5">
        <f t="shared" si="73"/>
        <v>0</v>
      </c>
      <c r="Q100" s="5">
        <f t="shared" si="74"/>
        <v>0</v>
      </c>
    </row>
    <row r="101" spans="1:17" s="32" customFormat="1" ht="15.75" thickBot="1" x14ac:dyDescent="0.3">
      <c r="A101" s="11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P101" s="32">
        <f t="shared" si="73"/>
        <v>0</v>
      </c>
      <c r="Q101" s="32">
        <f t="shared" si="74"/>
        <v>0</v>
      </c>
    </row>
    <row r="102" spans="1:17" x14ac:dyDescent="0.25">
      <c r="A102" s="156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P102" s="5">
        <f t="shared" si="73"/>
        <v>0</v>
      </c>
      <c r="Q102" s="5">
        <f t="shared" si="74"/>
        <v>0</v>
      </c>
    </row>
    <row r="103" spans="1:17" x14ac:dyDescent="0.25">
      <c r="A103" s="105" t="s">
        <v>72</v>
      </c>
      <c r="B103" s="49">
        <v>0</v>
      </c>
      <c r="C103" s="49">
        <v>0</v>
      </c>
      <c r="D103" s="49">
        <v>0</v>
      </c>
      <c r="E103" s="49"/>
      <c r="F103" s="49"/>
      <c r="G103" s="49">
        <v>0</v>
      </c>
      <c r="H103" s="49">
        <v>0</v>
      </c>
      <c r="I103" s="49">
        <v>0</v>
      </c>
      <c r="J103" s="49"/>
      <c r="K103" s="49"/>
      <c r="L103" s="49"/>
      <c r="M103" s="49"/>
      <c r="N103" s="49">
        <f t="shared" ref="N103:N125" si="103">SUM(B103:M103)</f>
        <v>0</v>
      </c>
      <c r="P103" s="49">
        <f t="shared" si="73"/>
        <v>0</v>
      </c>
      <c r="Q103" s="49">
        <f t="shared" si="74"/>
        <v>0</v>
      </c>
    </row>
    <row r="104" spans="1:17" x14ac:dyDescent="0.25">
      <c r="A104" s="105" t="s">
        <v>73</v>
      </c>
      <c r="B104" s="49">
        <v>154744703.27000001</v>
      </c>
      <c r="C104" s="49">
        <v>123954975.27</v>
      </c>
      <c r="D104" s="49">
        <v>101935013.19</v>
      </c>
      <c r="E104" s="49">
        <v>92863307.959999993</v>
      </c>
      <c r="F104" s="49">
        <v>94258757.019999996</v>
      </c>
      <c r="G104" s="49">
        <v>97605649.239999995</v>
      </c>
      <c r="H104" s="49">
        <v>123097958.22</v>
      </c>
      <c r="I104" s="49">
        <v>127862684.09999999</v>
      </c>
      <c r="J104" s="49"/>
      <c r="K104" s="49"/>
      <c r="L104" s="49"/>
      <c r="M104" s="49"/>
      <c r="N104" s="49">
        <f t="shared" si="103"/>
        <v>916323048.2700001</v>
      </c>
      <c r="P104" s="49">
        <f t="shared" si="73"/>
        <v>83302095.297272742</v>
      </c>
      <c r="Q104" s="49">
        <f t="shared" si="74"/>
        <v>-83302095.297272742</v>
      </c>
    </row>
    <row r="105" spans="1:17" x14ac:dyDescent="0.25">
      <c r="A105" s="105" t="s">
        <v>74</v>
      </c>
      <c r="B105" s="49">
        <v>474420383.94999999</v>
      </c>
      <c r="C105" s="49">
        <v>1272769788.22</v>
      </c>
      <c r="D105" s="49">
        <v>305526926.99000001</v>
      </c>
      <c r="E105" s="49">
        <v>46941731.32</v>
      </c>
      <c r="F105" s="49">
        <v>115118797.62</v>
      </c>
      <c r="G105" s="49">
        <v>261188870.69</v>
      </c>
      <c r="H105" s="49">
        <v>167224902.31999999</v>
      </c>
      <c r="I105" s="49">
        <v>334958641.80000001</v>
      </c>
      <c r="J105" s="49"/>
      <c r="K105" s="49"/>
      <c r="L105" s="49"/>
      <c r="M105" s="49"/>
      <c r="N105" s="49">
        <f t="shared" si="103"/>
        <v>2978150042.9100003</v>
      </c>
      <c r="P105" s="49">
        <f t="shared" si="73"/>
        <v>270740912.99181819</v>
      </c>
      <c r="Q105" s="49">
        <f t="shared" si="74"/>
        <v>-270740912.99181819</v>
      </c>
    </row>
    <row r="106" spans="1:17" x14ac:dyDescent="0.25">
      <c r="A106" s="105" t="s">
        <v>75</v>
      </c>
      <c r="B106" s="49">
        <v>2898099.37</v>
      </c>
      <c r="C106" s="49">
        <v>2610105.7200000002</v>
      </c>
      <c r="D106" s="49">
        <v>622399.88</v>
      </c>
      <c r="E106" s="49">
        <v>1945746.84</v>
      </c>
      <c r="F106" s="49">
        <v>1927944.8</v>
      </c>
      <c r="G106" s="49">
        <v>474866.98</v>
      </c>
      <c r="H106" s="49">
        <v>1059505.05</v>
      </c>
      <c r="I106" s="49">
        <v>1458942.34</v>
      </c>
      <c r="J106" s="49"/>
      <c r="K106" s="49"/>
      <c r="L106" s="49"/>
      <c r="M106" s="49"/>
      <c r="N106" s="49">
        <f t="shared" si="103"/>
        <v>12997610.98</v>
      </c>
      <c r="P106" s="49">
        <f t="shared" si="73"/>
        <v>1181600.9981818183</v>
      </c>
      <c r="Q106" s="49">
        <f t="shared" si="74"/>
        <v>-1181600.9981818183</v>
      </c>
    </row>
    <row r="107" spans="1:17" x14ac:dyDescent="0.25">
      <c r="A107" s="105" t="s">
        <v>76</v>
      </c>
      <c r="B107" s="49">
        <v>3238349</v>
      </c>
      <c r="C107" s="49">
        <v>1478660.42</v>
      </c>
      <c r="D107" s="49">
        <v>1427673</v>
      </c>
      <c r="E107" s="49">
        <v>2167697.4500000002</v>
      </c>
      <c r="F107" s="49">
        <v>847867.6</v>
      </c>
      <c r="G107" s="49">
        <v>844240.5</v>
      </c>
      <c r="H107" s="49">
        <v>518684.94</v>
      </c>
      <c r="I107" s="49">
        <v>749745</v>
      </c>
      <c r="J107" s="49"/>
      <c r="K107" s="49"/>
      <c r="L107" s="49"/>
      <c r="M107" s="49"/>
      <c r="N107" s="49">
        <f t="shared" si="103"/>
        <v>11272917.91</v>
      </c>
      <c r="P107" s="49">
        <f t="shared" si="73"/>
        <v>1024810.7190909091</v>
      </c>
      <c r="Q107" s="49">
        <f t="shared" si="74"/>
        <v>-1024810.7190909091</v>
      </c>
    </row>
    <row r="108" spans="1:17" x14ac:dyDescent="0.25">
      <c r="A108" s="105" t="s">
        <v>77</v>
      </c>
      <c r="B108" s="49">
        <v>0</v>
      </c>
      <c r="C108" s="49">
        <v>0</v>
      </c>
      <c r="D108" s="49">
        <v>0</v>
      </c>
      <c r="E108" s="49">
        <v>0</v>
      </c>
      <c r="F108" s="49">
        <v>100</v>
      </c>
      <c r="G108" s="49">
        <v>0</v>
      </c>
      <c r="H108" s="49">
        <v>100</v>
      </c>
      <c r="I108" s="49">
        <v>275</v>
      </c>
      <c r="J108" s="49"/>
      <c r="K108" s="49"/>
      <c r="L108" s="49"/>
      <c r="M108" s="49"/>
      <c r="N108" s="49">
        <f t="shared" si="103"/>
        <v>475</v>
      </c>
      <c r="P108" s="49">
        <f t="shared" si="73"/>
        <v>43.18181818181818</v>
      </c>
      <c r="Q108" s="49">
        <f t="shared" si="74"/>
        <v>-43.18181818181818</v>
      </c>
    </row>
    <row r="109" spans="1:17" x14ac:dyDescent="0.25">
      <c r="A109" s="105" t="s">
        <v>78</v>
      </c>
      <c r="B109" s="49">
        <v>44174.48</v>
      </c>
      <c r="C109" s="49">
        <v>37026.959999999999</v>
      </c>
      <c r="D109" s="49">
        <v>50952.97</v>
      </c>
      <c r="E109" s="49">
        <v>17383</v>
      </c>
      <c r="F109" s="49">
        <v>6537.5</v>
      </c>
      <c r="G109" s="49">
        <v>12690.5</v>
      </c>
      <c r="H109" s="49">
        <v>14136.99</v>
      </c>
      <c r="I109" s="49">
        <v>3631</v>
      </c>
      <c r="J109" s="49"/>
      <c r="K109" s="49"/>
      <c r="L109" s="49"/>
      <c r="M109" s="49"/>
      <c r="N109" s="49">
        <f t="shared" si="103"/>
        <v>186533.4</v>
      </c>
      <c r="P109" s="49">
        <f t="shared" si="73"/>
        <v>16957.581818181818</v>
      </c>
      <c r="Q109" s="49">
        <f t="shared" si="74"/>
        <v>-16957.581818181818</v>
      </c>
    </row>
    <row r="110" spans="1:17" x14ac:dyDescent="0.25">
      <c r="A110" s="105" t="s">
        <v>79</v>
      </c>
      <c r="B110" s="49">
        <v>0</v>
      </c>
      <c r="C110" s="49">
        <v>40000</v>
      </c>
      <c r="D110" s="49">
        <v>0</v>
      </c>
      <c r="E110" s="49">
        <v>0</v>
      </c>
      <c r="F110" s="49">
        <v>0</v>
      </c>
      <c r="G110" s="49">
        <v>0</v>
      </c>
      <c r="H110" s="49">
        <v>10000</v>
      </c>
      <c r="I110" s="49">
        <v>0</v>
      </c>
      <c r="J110" s="49"/>
      <c r="K110" s="49"/>
      <c r="L110" s="49"/>
      <c r="M110" s="49"/>
      <c r="N110" s="49">
        <f t="shared" si="103"/>
        <v>50000</v>
      </c>
      <c r="P110" s="49">
        <f t="shared" si="73"/>
        <v>4545.454545454545</v>
      </c>
      <c r="Q110" s="49">
        <f t="shared" si="74"/>
        <v>-4545.454545454545</v>
      </c>
    </row>
    <row r="111" spans="1:17" x14ac:dyDescent="0.25">
      <c r="A111" s="105" t="s">
        <v>80</v>
      </c>
      <c r="B111" s="49">
        <v>85825</v>
      </c>
      <c r="C111" s="49">
        <v>579872.5</v>
      </c>
      <c r="D111" s="49">
        <v>108078.75</v>
      </c>
      <c r="E111" s="49">
        <v>961999.14</v>
      </c>
      <c r="F111" s="49">
        <v>349854.6</v>
      </c>
      <c r="G111" s="49">
        <v>1360150.98</v>
      </c>
      <c r="H111" s="49">
        <v>454175</v>
      </c>
      <c r="I111" s="49">
        <v>875445</v>
      </c>
      <c r="J111" s="49"/>
      <c r="K111" s="49"/>
      <c r="L111" s="49"/>
      <c r="M111" s="49"/>
      <c r="N111" s="49">
        <f t="shared" si="103"/>
        <v>4775400.9700000007</v>
      </c>
      <c r="P111" s="49">
        <f t="shared" si="73"/>
        <v>434127.36090909096</v>
      </c>
      <c r="Q111" s="49">
        <f t="shared" si="74"/>
        <v>-434127.36090909096</v>
      </c>
    </row>
    <row r="112" spans="1:17" x14ac:dyDescent="0.25">
      <c r="A112" s="105" t="s">
        <v>81</v>
      </c>
      <c r="B112" s="49">
        <v>26781.78</v>
      </c>
      <c r="C112" s="49">
        <v>27848.98</v>
      </c>
      <c r="D112" s="49">
        <v>17975.66</v>
      </c>
      <c r="E112" s="49">
        <v>19219.95</v>
      </c>
      <c r="F112" s="49">
        <v>22546.73</v>
      </c>
      <c r="G112" s="49">
        <v>22323.95</v>
      </c>
      <c r="H112" s="49">
        <v>27263.29</v>
      </c>
      <c r="I112" s="49">
        <v>23494.07</v>
      </c>
      <c r="J112" s="49"/>
      <c r="K112" s="49"/>
      <c r="L112" s="49"/>
      <c r="M112" s="49"/>
      <c r="N112" s="49">
        <f t="shared" si="103"/>
        <v>187454.41</v>
      </c>
      <c r="P112" s="49">
        <f t="shared" si="73"/>
        <v>17041.310000000001</v>
      </c>
      <c r="Q112" s="49">
        <f t="shared" si="74"/>
        <v>-17041.310000000001</v>
      </c>
    </row>
    <row r="113" spans="1:17" x14ac:dyDescent="0.25">
      <c r="A113" s="105" t="s">
        <v>82</v>
      </c>
      <c r="B113" s="49">
        <v>5348.08</v>
      </c>
      <c r="C113" s="49">
        <v>3319.45</v>
      </c>
      <c r="D113" s="49">
        <v>4134.66</v>
      </c>
      <c r="E113" s="49">
        <v>2672.3</v>
      </c>
      <c r="F113" s="49">
        <v>3055.3</v>
      </c>
      <c r="G113" s="49">
        <v>3045.54</v>
      </c>
      <c r="H113" s="49">
        <v>4022.15</v>
      </c>
      <c r="I113" s="49">
        <v>6517.32</v>
      </c>
      <c r="J113" s="49"/>
      <c r="K113" s="49"/>
      <c r="L113" s="49"/>
      <c r="M113" s="49"/>
      <c r="N113" s="49">
        <f t="shared" si="103"/>
        <v>32114.799999999999</v>
      </c>
      <c r="P113" s="49">
        <f t="shared" si="73"/>
        <v>2919.5272727272727</v>
      </c>
      <c r="Q113" s="49">
        <f t="shared" si="74"/>
        <v>-2919.5272727272727</v>
      </c>
    </row>
    <row r="114" spans="1:17" x14ac:dyDescent="0.25">
      <c r="A114" s="105" t="s">
        <v>83</v>
      </c>
      <c r="B114" s="49">
        <v>11966.67</v>
      </c>
      <c r="C114" s="49">
        <v>6875.97</v>
      </c>
      <c r="D114" s="49">
        <v>42473.86</v>
      </c>
      <c r="E114" s="49">
        <v>8332.3799999999992</v>
      </c>
      <c r="F114" s="49">
        <v>47717.82</v>
      </c>
      <c r="G114" s="49">
        <v>14103.21</v>
      </c>
      <c r="H114" s="49">
        <v>64030.9</v>
      </c>
      <c r="I114" s="49">
        <v>12097.62</v>
      </c>
      <c r="J114" s="49"/>
      <c r="K114" s="49"/>
      <c r="L114" s="49"/>
      <c r="M114" s="49"/>
      <c r="N114" s="49">
        <f t="shared" si="103"/>
        <v>207598.43</v>
      </c>
      <c r="P114" s="49">
        <f t="shared" si="73"/>
        <v>18872.584545454545</v>
      </c>
      <c r="Q114" s="49">
        <f t="shared" si="74"/>
        <v>-18872.584545454545</v>
      </c>
    </row>
    <row r="115" spans="1:17" x14ac:dyDescent="0.25">
      <c r="A115" s="105" t="s">
        <v>84</v>
      </c>
      <c r="B115" s="49">
        <v>-181274.6</v>
      </c>
      <c r="C115" s="49">
        <v>-14353247.48</v>
      </c>
      <c r="D115" s="49">
        <v>-865145</v>
      </c>
      <c r="E115" s="49">
        <v>-191768.9</v>
      </c>
      <c r="F115" s="49">
        <v>0</v>
      </c>
      <c r="G115" s="49">
        <v>-4824560.62</v>
      </c>
      <c r="H115" s="49">
        <v>-481109.16</v>
      </c>
      <c r="I115" s="49">
        <v>-1464419.23</v>
      </c>
      <c r="J115" s="49"/>
      <c r="K115" s="49"/>
      <c r="L115" s="49"/>
      <c r="M115" s="49"/>
      <c r="N115" s="49">
        <f t="shared" si="103"/>
        <v>-22361524.990000002</v>
      </c>
      <c r="P115" s="49">
        <f t="shared" si="73"/>
        <v>-2032865.9081818184</v>
      </c>
      <c r="Q115" s="49">
        <f t="shared" si="74"/>
        <v>2032865.9081818184</v>
      </c>
    </row>
    <row r="116" spans="1:17" x14ac:dyDescent="0.25">
      <c r="A116" s="105" t="s">
        <v>85</v>
      </c>
      <c r="B116" s="49">
        <v>-49890630.729999997</v>
      </c>
      <c r="C116" s="49">
        <v>-60452389.869999997</v>
      </c>
      <c r="D116" s="49">
        <v>-214404.86</v>
      </c>
      <c r="E116" s="49">
        <v>0</v>
      </c>
      <c r="F116" s="49">
        <v>-57992.4</v>
      </c>
      <c r="G116" s="49">
        <v>-225137.37</v>
      </c>
      <c r="H116" s="49">
        <v>-521496.35</v>
      </c>
      <c r="I116" s="49">
        <v>-10192938.970000001</v>
      </c>
      <c r="J116" s="49"/>
      <c r="K116" s="49"/>
      <c r="L116" s="49"/>
      <c r="M116" s="49"/>
      <c r="N116" s="49">
        <f t="shared" si="103"/>
        <v>-121554990.55</v>
      </c>
      <c r="P116" s="49">
        <f t="shared" si="73"/>
        <v>-11050453.686363636</v>
      </c>
      <c r="Q116" s="49">
        <f t="shared" si="74"/>
        <v>11050453.686363636</v>
      </c>
    </row>
    <row r="117" spans="1:17" x14ac:dyDescent="0.25">
      <c r="A117" s="105" t="s">
        <v>86</v>
      </c>
      <c r="B117" s="49">
        <v>-13395</v>
      </c>
      <c r="C117" s="49">
        <v>-13570</v>
      </c>
      <c r="D117" s="49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-8300</v>
      </c>
      <c r="J117" s="49"/>
      <c r="K117" s="49"/>
      <c r="L117" s="49"/>
      <c r="M117" s="49"/>
      <c r="N117" s="49">
        <f t="shared" si="103"/>
        <v>-35265</v>
      </c>
      <c r="P117" s="49">
        <f t="shared" si="73"/>
        <v>-3205.909090909091</v>
      </c>
      <c r="Q117" s="49">
        <f t="shared" si="74"/>
        <v>3205.909090909091</v>
      </c>
    </row>
    <row r="118" spans="1:17" x14ac:dyDescent="0.25">
      <c r="A118" s="105" t="s">
        <v>87</v>
      </c>
      <c r="B118" s="49">
        <v>0</v>
      </c>
      <c r="C118" s="49">
        <v>0</v>
      </c>
      <c r="D118" s="49">
        <v>0</v>
      </c>
      <c r="E118" s="49">
        <v>0</v>
      </c>
      <c r="F118" s="49">
        <v>0</v>
      </c>
      <c r="G118" s="49">
        <v>-59280</v>
      </c>
      <c r="H118" s="49">
        <v>0</v>
      </c>
      <c r="I118" s="49">
        <v>0</v>
      </c>
      <c r="J118" s="49"/>
      <c r="K118" s="49"/>
      <c r="L118" s="49"/>
      <c r="M118" s="49"/>
      <c r="N118" s="49">
        <f t="shared" si="103"/>
        <v>-59280</v>
      </c>
      <c r="P118" s="49">
        <f t="shared" si="73"/>
        <v>-5389.090909090909</v>
      </c>
      <c r="Q118" s="49">
        <f t="shared" si="74"/>
        <v>5389.090909090909</v>
      </c>
    </row>
    <row r="119" spans="1:17" x14ac:dyDescent="0.25">
      <c r="A119" s="105" t="s">
        <v>88</v>
      </c>
      <c r="B119" s="49">
        <v>0</v>
      </c>
      <c r="C119" s="49">
        <v>0</v>
      </c>
      <c r="D119" s="49">
        <v>0</v>
      </c>
      <c r="E119" s="49">
        <v>0</v>
      </c>
      <c r="F119" s="49">
        <v>0</v>
      </c>
      <c r="G119" s="49">
        <v>0</v>
      </c>
      <c r="H119" s="49">
        <v>0</v>
      </c>
      <c r="I119" s="49">
        <v>0</v>
      </c>
      <c r="J119" s="49"/>
      <c r="K119" s="49"/>
      <c r="L119" s="49"/>
      <c r="M119" s="49"/>
      <c r="N119" s="49">
        <f t="shared" si="103"/>
        <v>0</v>
      </c>
      <c r="P119" s="49">
        <f t="shared" si="73"/>
        <v>0</v>
      </c>
      <c r="Q119" s="49">
        <f t="shared" si="74"/>
        <v>0</v>
      </c>
    </row>
    <row r="120" spans="1:17" x14ac:dyDescent="0.25">
      <c r="A120" s="105" t="s">
        <v>89</v>
      </c>
      <c r="B120" s="49">
        <v>0</v>
      </c>
      <c r="C120" s="49">
        <v>0</v>
      </c>
      <c r="D120" s="49">
        <v>0</v>
      </c>
      <c r="E120" s="49">
        <v>0</v>
      </c>
      <c r="F120" s="49">
        <v>0</v>
      </c>
      <c r="G120" s="49">
        <v>0</v>
      </c>
      <c r="H120" s="49">
        <v>0</v>
      </c>
      <c r="I120" s="49">
        <v>-85</v>
      </c>
      <c r="J120" s="49"/>
      <c r="K120" s="49"/>
      <c r="L120" s="49"/>
      <c r="M120" s="49"/>
      <c r="N120" s="49">
        <f t="shared" si="103"/>
        <v>-85</v>
      </c>
      <c r="P120" s="49">
        <f t="shared" si="73"/>
        <v>-7.7272727272727275</v>
      </c>
      <c r="Q120" s="49">
        <f t="shared" si="74"/>
        <v>7.7272727272727275</v>
      </c>
    </row>
    <row r="121" spans="1:17" x14ac:dyDescent="0.25">
      <c r="A121" s="105" t="s">
        <v>90</v>
      </c>
      <c r="B121" s="49">
        <v>0</v>
      </c>
      <c r="C121" s="49">
        <v>0</v>
      </c>
      <c r="D121" s="49">
        <v>0</v>
      </c>
      <c r="E121" s="49">
        <v>-58450</v>
      </c>
      <c r="F121" s="49">
        <v>-38855</v>
      </c>
      <c r="G121" s="49">
        <v>-113930</v>
      </c>
      <c r="H121" s="49">
        <v>0</v>
      </c>
      <c r="I121" s="49">
        <v>0</v>
      </c>
      <c r="J121" s="49"/>
      <c r="K121" s="49"/>
      <c r="L121" s="49"/>
      <c r="M121" s="49"/>
      <c r="N121" s="49">
        <f t="shared" si="103"/>
        <v>-211235</v>
      </c>
      <c r="P121" s="49">
        <f t="shared" si="73"/>
        <v>-19203.18181818182</v>
      </c>
      <c r="Q121" s="49">
        <f t="shared" si="74"/>
        <v>19203.18181818182</v>
      </c>
    </row>
    <row r="122" spans="1:17" x14ac:dyDescent="0.25">
      <c r="A122" s="105" t="s">
        <v>91</v>
      </c>
      <c r="B122" s="49">
        <v>0</v>
      </c>
      <c r="C122" s="49">
        <v>0</v>
      </c>
      <c r="D122" s="49">
        <v>0</v>
      </c>
      <c r="E122" s="49">
        <v>279000</v>
      </c>
      <c r="F122" s="49">
        <v>0</v>
      </c>
      <c r="G122" s="49">
        <v>1845</v>
      </c>
      <c r="H122" s="49">
        <v>1346.78</v>
      </c>
      <c r="I122" s="49">
        <v>132.93</v>
      </c>
      <c r="J122" s="49"/>
      <c r="K122" s="49"/>
      <c r="L122" s="49"/>
      <c r="M122" s="49"/>
      <c r="N122" s="49">
        <f t="shared" si="103"/>
        <v>282324.71000000002</v>
      </c>
      <c r="P122" s="49"/>
      <c r="Q122" s="49"/>
    </row>
    <row r="123" spans="1:17" s="151" customFormat="1" x14ac:dyDescent="0.25">
      <c r="A123" s="5" t="s">
        <v>466</v>
      </c>
      <c r="B123" s="49">
        <v>0</v>
      </c>
      <c r="C123" s="49">
        <v>0</v>
      </c>
      <c r="D123" s="49">
        <v>0</v>
      </c>
      <c r="E123" s="49">
        <v>0</v>
      </c>
      <c r="F123" s="49">
        <v>0</v>
      </c>
      <c r="G123" s="49">
        <v>0</v>
      </c>
      <c r="H123" s="49">
        <v>0</v>
      </c>
      <c r="I123" s="49">
        <v>3720</v>
      </c>
      <c r="J123" s="49"/>
      <c r="K123" s="49"/>
      <c r="L123" s="49"/>
      <c r="M123" s="49"/>
      <c r="N123" s="49">
        <f t="shared" si="103"/>
        <v>3720</v>
      </c>
      <c r="O123" s="49"/>
      <c r="P123" s="49"/>
    </row>
    <row r="124" spans="1:17" x14ac:dyDescent="0.25">
      <c r="A124" s="105" t="s">
        <v>92</v>
      </c>
      <c r="B124" s="49">
        <v>0</v>
      </c>
      <c r="C124" s="49">
        <v>0</v>
      </c>
      <c r="D124" s="49">
        <v>0</v>
      </c>
      <c r="E124" s="49">
        <v>13312.5</v>
      </c>
      <c r="F124" s="49">
        <v>0</v>
      </c>
      <c r="G124" s="49">
        <v>0</v>
      </c>
      <c r="H124" s="49">
        <v>160130</v>
      </c>
      <c r="I124" s="49">
        <v>231818.9</v>
      </c>
      <c r="J124" s="49"/>
      <c r="K124" s="49"/>
      <c r="L124" s="49"/>
      <c r="M124" s="49"/>
      <c r="N124" s="49">
        <f t="shared" si="103"/>
        <v>405261.4</v>
      </c>
      <c r="P124" s="49"/>
      <c r="Q124" s="49"/>
    </row>
    <row r="125" spans="1:17" s="151" customFormat="1" x14ac:dyDescent="0.25">
      <c r="A125" s="5" t="s">
        <v>467</v>
      </c>
      <c r="B125" s="49">
        <v>0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-96720</v>
      </c>
      <c r="J125" s="49"/>
      <c r="K125" s="49"/>
      <c r="L125" s="49"/>
      <c r="M125" s="49"/>
      <c r="N125" s="49">
        <f t="shared" si="103"/>
        <v>-96720</v>
      </c>
      <c r="O125" s="49"/>
      <c r="P125" s="49"/>
    </row>
    <row r="126" spans="1:17" s="33" customFormat="1" ht="15.75" thickBot="1" x14ac:dyDescent="0.3">
      <c r="A126" s="113" t="s">
        <v>93</v>
      </c>
      <c r="B126" s="34">
        <f>SUM(B103:B124)</f>
        <v>585390331.26999998</v>
      </c>
      <c r="C126" s="34">
        <f t="shared" ref="C126:M126" si="104">SUM(C103:C124)</f>
        <v>1326689266.1400003</v>
      </c>
      <c r="D126" s="34">
        <f t="shared" si="104"/>
        <v>408656079.10000008</v>
      </c>
      <c r="E126" s="34">
        <f t="shared" si="104"/>
        <v>144970183.93999997</v>
      </c>
      <c r="F126" s="34">
        <f t="shared" si="104"/>
        <v>212486331.58999997</v>
      </c>
      <c r="G126" s="34">
        <f>SUM(G103:G124)</f>
        <v>356304878.60000002</v>
      </c>
      <c r="H126" s="34">
        <f t="shared" ref="H126" si="105">SUM(H103:H124)</f>
        <v>291633650.12999988</v>
      </c>
      <c r="I126" s="34">
        <f>SUM(I103:M125)</f>
        <v>454424681.87999988</v>
      </c>
      <c r="J126" s="34">
        <f t="shared" si="104"/>
        <v>0</v>
      </c>
      <c r="K126" s="34">
        <f t="shared" si="104"/>
        <v>0</v>
      </c>
      <c r="L126" s="34">
        <f t="shared" si="104"/>
        <v>0</v>
      </c>
      <c r="M126" s="34">
        <f t="shared" si="104"/>
        <v>0</v>
      </c>
      <c r="N126" s="34">
        <f>SUM(N103:N125)</f>
        <v>3780555402.6500001</v>
      </c>
      <c r="P126" s="34">
        <f t="shared" si="73"/>
        <v>343686854.78636366</v>
      </c>
      <c r="Q126" s="34">
        <f t="shared" si="74"/>
        <v>-343686854.78636366</v>
      </c>
    </row>
    <row r="127" spans="1:17" ht="15.75" thickTop="1" x14ac:dyDescent="0.25"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P127" s="49">
        <f t="shared" si="73"/>
        <v>0</v>
      </c>
      <c r="Q127" s="49">
        <f t="shared" si="74"/>
        <v>0</v>
      </c>
    </row>
    <row r="128" spans="1:17" x14ac:dyDescent="0.25">
      <c r="A128" s="105" t="s">
        <v>94</v>
      </c>
      <c r="B128" s="49">
        <v>-3595.4</v>
      </c>
      <c r="C128" s="49">
        <v>-2471.31</v>
      </c>
      <c r="D128" s="3">
        <v>-4621.22</v>
      </c>
      <c r="E128" s="49">
        <v>-5799.91</v>
      </c>
      <c r="F128" s="49">
        <v>-1360.64</v>
      </c>
      <c r="G128" s="49">
        <v>-1536.21</v>
      </c>
      <c r="H128" s="49">
        <v>-2242.15</v>
      </c>
      <c r="I128" s="49">
        <v>-4335.7700000000004</v>
      </c>
      <c r="J128" s="49"/>
      <c r="K128" s="49"/>
      <c r="L128" s="49"/>
      <c r="M128" s="49"/>
      <c r="N128" s="49">
        <f t="shared" ref="N128:N159" si="106">SUM(B128:M128)</f>
        <v>-25962.61</v>
      </c>
      <c r="P128" s="49">
        <f t="shared" si="73"/>
        <v>-2360.2372727272727</v>
      </c>
      <c r="Q128" s="49">
        <f t="shared" si="74"/>
        <v>2360.2372727272727</v>
      </c>
    </row>
    <row r="129" spans="1:17" x14ac:dyDescent="0.25">
      <c r="A129" s="105" t="s">
        <v>95</v>
      </c>
      <c r="B129" s="49">
        <v>0</v>
      </c>
      <c r="C129" s="49">
        <v>0</v>
      </c>
      <c r="D129" s="3">
        <v>0</v>
      </c>
      <c r="E129" s="49"/>
      <c r="F129" s="49">
        <v>0</v>
      </c>
      <c r="G129" s="49">
        <v>0</v>
      </c>
      <c r="H129" s="49">
        <v>0</v>
      </c>
      <c r="I129" s="49">
        <v>0</v>
      </c>
      <c r="J129" s="49"/>
      <c r="K129" s="49"/>
      <c r="L129" s="49"/>
      <c r="M129" s="49"/>
      <c r="N129" s="49">
        <f t="shared" si="106"/>
        <v>0</v>
      </c>
      <c r="P129" s="49">
        <f t="shared" si="73"/>
        <v>0</v>
      </c>
      <c r="Q129" s="49">
        <f t="shared" si="74"/>
        <v>0</v>
      </c>
    </row>
    <row r="130" spans="1:17" x14ac:dyDescent="0.25">
      <c r="A130" s="105" t="s">
        <v>96</v>
      </c>
      <c r="B130" s="49">
        <v>155441266.31</v>
      </c>
      <c r="C130" s="49">
        <v>109044152.26000001</v>
      </c>
      <c r="D130" s="3">
        <v>100539266.20999999</v>
      </c>
      <c r="E130" s="49">
        <v>91915243.909999996</v>
      </c>
      <c r="F130" s="49">
        <v>94245288.590000004</v>
      </c>
      <c r="G130" s="49">
        <v>92942665.650000006</v>
      </c>
      <c r="H130" s="49">
        <v>124203449.56999999</v>
      </c>
      <c r="I130" s="49">
        <v>128282249.83</v>
      </c>
      <c r="J130" s="49"/>
      <c r="K130" s="49"/>
      <c r="L130" s="49"/>
      <c r="M130" s="49"/>
      <c r="N130" s="49">
        <f t="shared" si="106"/>
        <v>896613582.33000004</v>
      </c>
      <c r="P130" s="49">
        <f t="shared" si="73"/>
        <v>81510325.666363642</v>
      </c>
      <c r="Q130" s="49">
        <f t="shared" si="74"/>
        <v>-81510325.666363642</v>
      </c>
    </row>
    <row r="131" spans="1:17" x14ac:dyDescent="0.25">
      <c r="A131" s="105" t="s">
        <v>97</v>
      </c>
      <c r="B131" s="49">
        <v>422458884.52999997</v>
      </c>
      <c r="C131" s="49">
        <v>1215702481.6500001</v>
      </c>
      <c r="D131" s="3">
        <v>305866481.80000001</v>
      </c>
      <c r="E131" s="49">
        <v>46984540.060000002</v>
      </c>
      <c r="F131" s="49">
        <v>116527400.42</v>
      </c>
      <c r="G131" s="49">
        <v>262829543.78999999</v>
      </c>
      <c r="H131" s="49">
        <v>170093292.22</v>
      </c>
      <c r="I131" s="49">
        <v>328155648.12</v>
      </c>
      <c r="J131" s="49"/>
      <c r="K131" s="49"/>
      <c r="L131" s="49"/>
      <c r="M131" s="49"/>
      <c r="N131" s="49">
        <f t="shared" si="106"/>
        <v>2868618272.5899997</v>
      </c>
      <c r="P131" s="49">
        <f t="shared" si="73"/>
        <v>260783479.32636359</v>
      </c>
      <c r="Q131" s="49">
        <f t="shared" si="74"/>
        <v>-260783479.32636359</v>
      </c>
    </row>
    <row r="132" spans="1:17" x14ac:dyDescent="0.25">
      <c r="A132" s="105" t="s">
        <v>98</v>
      </c>
      <c r="B132" s="49">
        <v>2776246.68</v>
      </c>
      <c r="C132" s="49">
        <v>2484320.38</v>
      </c>
      <c r="D132" s="3">
        <v>617771.9</v>
      </c>
      <c r="E132" s="49">
        <v>1936970.97</v>
      </c>
      <c r="F132" s="49">
        <v>2008716.84</v>
      </c>
      <c r="G132" s="49">
        <v>489895.91</v>
      </c>
      <c r="H132" s="49">
        <v>1072423.6100000001</v>
      </c>
      <c r="I132" s="49">
        <v>1487745.77</v>
      </c>
      <c r="J132" s="49"/>
      <c r="K132" s="49"/>
      <c r="L132" s="49"/>
      <c r="M132" s="49"/>
      <c r="N132" s="49">
        <f t="shared" si="106"/>
        <v>12874092.060000001</v>
      </c>
      <c r="P132" s="49">
        <f t="shared" si="73"/>
        <v>1170372.0054545456</v>
      </c>
      <c r="Q132" s="49">
        <f t="shared" si="74"/>
        <v>-1170372.0054545456</v>
      </c>
    </row>
    <row r="133" spans="1:17" x14ac:dyDescent="0.25">
      <c r="A133" s="105" t="s">
        <v>99</v>
      </c>
      <c r="B133" s="49">
        <v>3078499.21</v>
      </c>
      <c r="C133" s="49">
        <v>1513901.47</v>
      </c>
      <c r="D133" s="3">
        <v>1441767.82</v>
      </c>
      <c r="E133" s="49">
        <v>2113636.39</v>
      </c>
      <c r="F133" s="49">
        <v>844764.25</v>
      </c>
      <c r="G133" s="49">
        <v>760350.9</v>
      </c>
      <c r="H133" s="49">
        <v>520958.08</v>
      </c>
      <c r="I133" s="49">
        <v>746076.51</v>
      </c>
      <c r="J133" s="49"/>
      <c r="K133" s="49"/>
      <c r="L133" s="49"/>
      <c r="M133" s="49"/>
      <c r="N133" s="49">
        <f t="shared" si="106"/>
        <v>11019954.630000001</v>
      </c>
      <c r="P133" s="49">
        <f t="shared" si="73"/>
        <v>1001814.0572727274</v>
      </c>
      <c r="Q133" s="49">
        <f t="shared" si="74"/>
        <v>-1001814.0572727274</v>
      </c>
    </row>
    <row r="134" spans="1:17" x14ac:dyDescent="0.25">
      <c r="A134" s="105" t="s">
        <v>100</v>
      </c>
      <c r="B134" s="49">
        <v>0</v>
      </c>
      <c r="C134" s="49">
        <v>0</v>
      </c>
      <c r="D134" s="3">
        <v>0</v>
      </c>
      <c r="E134" s="49">
        <v>0</v>
      </c>
      <c r="F134" s="49">
        <v>72</v>
      </c>
      <c r="G134" s="49">
        <v>0</v>
      </c>
      <c r="H134" s="49">
        <v>72</v>
      </c>
      <c r="I134" s="49">
        <v>198</v>
      </c>
      <c r="J134" s="49"/>
      <c r="K134" s="49"/>
      <c r="L134" s="49"/>
      <c r="M134" s="49"/>
      <c r="N134" s="49">
        <f t="shared" si="106"/>
        <v>342</v>
      </c>
      <c r="P134" s="49">
        <f t="shared" si="73"/>
        <v>31.09090909090909</v>
      </c>
      <c r="Q134" s="49">
        <f t="shared" si="74"/>
        <v>-31.09090909090909</v>
      </c>
    </row>
    <row r="135" spans="1:17" x14ac:dyDescent="0.25">
      <c r="A135" s="105" t="s">
        <v>101</v>
      </c>
      <c r="B135" s="49">
        <v>47744.73</v>
      </c>
      <c r="C135" s="49">
        <v>40318.61</v>
      </c>
      <c r="D135" s="3">
        <v>53566.29</v>
      </c>
      <c r="E135" s="49">
        <v>-3427.84</v>
      </c>
      <c r="F135" s="49">
        <v>5808.03</v>
      </c>
      <c r="G135" s="49">
        <v>11225.63</v>
      </c>
      <c r="H135" s="49">
        <v>11757.35</v>
      </c>
      <c r="I135" s="49">
        <v>2887.52</v>
      </c>
      <c r="J135" s="49"/>
      <c r="K135" s="49"/>
      <c r="L135" s="49"/>
      <c r="M135" s="49"/>
      <c r="N135" s="49">
        <f t="shared" si="106"/>
        <v>169880.32000000001</v>
      </c>
      <c r="P135" s="49">
        <f t="shared" si="73"/>
        <v>15443.665454545455</v>
      </c>
      <c r="Q135" s="49">
        <f t="shared" si="74"/>
        <v>-15443.665454545455</v>
      </c>
    </row>
    <row r="136" spans="1:17" x14ac:dyDescent="0.25">
      <c r="A136" s="105" t="s">
        <v>102</v>
      </c>
      <c r="B136" s="49">
        <v>82580.429999999993</v>
      </c>
      <c r="C136" s="49">
        <v>556415.63</v>
      </c>
      <c r="D136" s="3">
        <v>104546.19</v>
      </c>
      <c r="E136" s="49">
        <v>891459.31</v>
      </c>
      <c r="F136" s="49">
        <v>309417.95</v>
      </c>
      <c r="G136" s="49">
        <v>1066421.99</v>
      </c>
      <c r="H136" s="49">
        <v>438557.16</v>
      </c>
      <c r="I136" s="49">
        <v>839710.44</v>
      </c>
      <c r="J136" s="49"/>
      <c r="K136" s="49"/>
      <c r="L136" s="49"/>
      <c r="M136" s="49"/>
      <c r="N136" s="49">
        <f t="shared" si="106"/>
        <v>4289109.0999999996</v>
      </c>
      <c r="P136" s="49">
        <f t="shared" si="73"/>
        <v>389919.00909090904</v>
      </c>
      <c r="Q136" s="49">
        <f t="shared" si="74"/>
        <v>-389919.00909090904</v>
      </c>
    </row>
    <row r="137" spans="1:17" x14ac:dyDescent="0.25">
      <c r="A137" s="105" t="s">
        <v>103</v>
      </c>
      <c r="B137" s="49">
        <v>162526.82</v>
      </c>
      <c r="C137" s="49">
        <v>186551.2</v>
      </c>
      <c r="D137" s="3">
        <f>120971.26+500</f>
        <v>121471.26</v>
      </c>
      <c r="E137" s="49">
        <v>104538.95</v>
      </c>
      <c r="F137" s="49">
        <f>108837.33+3500</f>
        <v>112337.33</v>
      </c>
      <c r="G137" s="49">
        <v>58522.59</v>
      </c>
      <c r="H137" s="49">
        <v>142640.88</v>
      </c>
      <c r="I137" s="49">
        <v>302010.69</v>
      </c>
      <c r="J137" s="49"/>
      <c r="K137" s="49"/>
      <c r="L137" s="49"/>
      <c r="M137" s="49"/>
      <c r="N137" s="49">
        <f t="shared" si="106"/>
        <v>1190599.72</v>
      </c>
      <c r="P137" s="49">
        <f t="shared" ref="P137:P205" si="107">(N137-M137)/11</f>
        <v>108236.33818181818</v>
      </c>
      <c r="Q137" s="49">
        <f t="shared" ref="Q137:Q205" si="108">M137-P137</f>
        <v>-108236.33818181818</v>
      </c>
    </row>
    <row r="138" spans="1:17" x14ac:dyDescent="0.25">
      <c r="A138" s="105" t="s">
        <v>104</v>
      </c>
      <c r="B138" s="49">
        <v>0</v>
      </c>
      <c r="C138" s="49">
        <v>0</v>
      </c>
      <c r="D138" s="3">
        <v>0</v>
      </c>
      <c r="E138" s="49">
        <v>0</v>
      </c>
      <c r="F138" s="49">
        <v>0</v>
      </c>
      <c r="G138" s="49">
        <v>0</v>
      </c>
      <c r="H138" s="49">
        <v>0</v>
      </c>
      <c r="I138" s="49">
        <v>0</v>
      </c>
      <c r="J138" s="49"/>
      <c r="K138" s="49"/>
      <c r="L138" s="49"/>
      <c r="M138" s="49"/>
      <c r="N138" s="49">
        <f t="shared" si="106"/>
        <v>0</v>
      </c>
      <c r="P138" s="49">
        <f t="shared" si="107"/>
        <v>0</v>
      </c>
      <c r="Q138" s="49">
        <f t="shared" si="108"/>
        <v>0</v>
      </c>
    </row>
    <row r="139" spans="1:17" x14ac:dyDescent="0.25">
      <c r="A139" s="105" t="s">
        <v>105</v>
      </c>
      <c r="B139" s="49">
        <v>0</v>
      </c>
      <c r="C139" s="49">
        <v>0</v>
      </c>
      <c r="D139" s="3">
        <v>0</v>
      </c>
      <c r="E139" s="49">
        <v>0</v>
      </c>
      <c r="F139" s="49">
        <v>0</v>
      </c>
      <c r="G139" s="49">
        <v>0</v>
      </c>
      <c r="H139" s="49">
        <v>0</v>
      </c>
      <c r="I139" s="49">
        <v>0</v>
      </c>
      <c r="J139" s="49"/>
      <c r="K139" s="49"/>
      <c r="L139" s="49"/>
      <c r="M139" s="49"/>
      <c r="N139" s="49">
        <f t="shared" si="106"/>
        <v>0</v>
      </c>
      <c r="P139" s="49">
        <f t="shared" si="107"/>
        <v>0</v>
      </c>
      <c r="Q139" s="49">
        <f t="shared" si="108"/>
        <v>0</v>
      </c>
    </row>
    <row r="140" spans="1:17" x14ac:dyDescent="0.25">
      <c r="A140" s="105" t="s">
        <v>106</v>
      </c>
      <c r="B140" s="49">
        <v>9335.48</v>
      </c>
      <c r="C140" s="49">
        <v>703.97</v>
      </c>
      <c r="D140" s="3">
        <v>6224.3</v>
      </c>
      <c r="E140" s="49">
        <v>4346.05</v>
      </c>
      <c r="F140" s="49">
        <v>1861.52</v>
      </c>
      <c r="G140" s="49">
        <v>2668.53</v>
      </c>
      <c r="H140" s="49">
        <v>8773.1200000000008</v>
      </c>
      <c r="I140" s="49">
        <v>2512.61</v>
      </c>
      <c r="J140" s="49"/>
      <c r="K140" s="49"/>
      <c r="L140" s="49"/>
      <c r="M140" s="49"/>
      <c r="N140" s="49">
        <f t="shared" si="106"/>
        <v>36425.58</v>
      </c>
      <c r="P140" s="49">
        <f t="shared" si="107"/>
        <v>3311.4163636363637</v>
      </c>
      <c r="Q140" s="49">
        <f t="shared" si="108"/>
        <v>-3311.4163636363637</v>
      </c>
    </row>
    <row r="141" spans="1:17" x14ac:dyDescent="0.25">
      <c r="A141" s="105" t="s">
        <v>107</v>
      </c>
      <c r="B141" s="49">
        <v>0</v>
      </c>
      <c r="C141" s="49">
        <v>1250</v>
      </c>
      <c r="D141" s="3">
        <v>0</v>
      </c>
      <c r="E141" s="49">
        <v>0</v>
      </c>
      <c r="F141" s="49">
        <v>0</v>
      </c>
      <c r="G141" s="49">
        <v>0</v>
      </c>
      <c r="H141" s="49">
        <v>0</v>
      </c>
      <c r="I141" s="49">
        <v>0</v>
      </c>
      <c r="J141" s="49"/>
      <c r="K141" s="49"/>
      <c r="L141" s="49"/>
      <c r="M141" s="49"/>
      <c r="N141" s="49">
        <f t="shared" si="106"/>
        <v>1250</v>
      </c>
      <c r="P141" s="49">
        <f t="shared" si="107"/>
        <v>113.63636363636364</v>
      </c>
      <c r="Q141" s="49">
        <f t="shared" si="108"/>
        <v>-113.63636363636364</v>
      </c>
    </row>
    <row r="142" spans="1:17" x14ac:dyDescent="0.25">
      <c r="A142" s="105" t="s">
        <v>108</v>
      </c>
      <c r="B142" s="49">
        <v>93164865.799999997</v>
      </c>
      <c r="C142" s="49">
        <v>43694992.5</v>
      </c>
      <c r="D142" s="3">
        <v>49872500</v>
      </c>
      <c r="E142" s="49">
        <v>37423820</v>
      </c>
      <c r="F142" s="49">
        <v>33390470</v>
      </c>
      <c r="G142" s="49">
        <v>18213000</v>
      </c>
      <c r="H142" s="49">
        <v>40236590</v>
      </c>
      <c r="I142" s="49">
        <v>27854150</v>
      </c>
      <c r="J142" s="49"/>
      <c r="K142" s="49"/>
      <c r="L142" s="49"/>
      <c r="M142" s="49"/>
      <c r="N142" s="49">
        <f t="shared" si="106"/>
        <v>343850388.30000001</v>
      </c>
      <c r="P142" s="49">
        <f t="shared" si="107"/>
        <v>31259126.209090911</v>
      </c>
      <c r="Q142" s="49">
        <f t="shared" si="108"/>
        <v>-31259126.209090911</v>
      </c>
    </row>
    <row r="143" spans="1:17" x14ac:dyDescent="0.25">
      <c r="A143" s="105" t="s">
        <v>109</v>
      </c>
      <c r="B143" s="49">
        <v>39860269.659999996</v>
      </c>
      <c r="C143" s="49">
        <v>50039912.299999997</v>
      </c>
      <c r="D143" s="3">
        <v>119070965.51000001</v>
      </c>
      <c r="E143" s="49">
        <v>32569174</v>
      </c>
      <c r="F143" s="49">
        <v>104415723.54000001</v>
      </c>
      <c r="G143" s="49">
        <v>53384233</v>
      </c>
      <c r="H143" s="49">
        <v>102371087</v>
      </c>
      <c r="I143" s="49">
        <v>40532974</v>
      </c>
      <c r="J143" s="49"/>
      <c r="K143" s="49"/>
      <c r="L143" s="49"/>
      <c r="M143" s="49"/>
      <c r="N143" s="49">
        <f t="shared" si="106"/>
        <v>542244339.00999999</v>
      </c>
      <c r="P143" s="49">
        <f t="shared" si="107"/>
        <v>49294939.909999996</v>
      </c>
      <c r="Q143" s="49">
        <f t="shared" si="108"/>
        <v>-49294939.909999996</v>
      </c>
    </row>
    <row r="144" spans="1:17" x14ac:dyDescent="0.25">
      <c r="A144" s="105" t="s">
        <v>110</v>
      </c>
      <c r="B144" s="49">
        <v>0</v>
      </c>
      <c r="C144" s="49">
        <v>252635</v>
      </c>
      <c r="D144" s="3">
        <v>333245</v>
      </c>
      <c r="E144" s="49">
        <v>95125</v>
      </c>
      <c r="F144" s="49">
        <v>0</v>
      </c>
      <c r="G144" s="49">
        <v>45375</v>
      </c>
      <c r="H144" s="49">
        <v>0</v>
      </c>
      <c r="I144" s="49">
        <v>0</v>
      </c>
      <c r="J144" s="49"/>
      <c r="K144" s="49"/>
      <c r="L144" s="49"/>
      <c r="M144" s="49"/>
      <c r="N144" s="49">
        <f t="shared" si="106"/>
        <v>726380</v>
      </c>
      <c r="P144" s="49">
        <f t="shared" si="107"/>
        <v>66034.545454545456</v>
      </c>
      <c r="Q144" s="49">
        <f t="shared" si="108"/>
        <v>-66034.545454545456</v>
      </c>
    </row>
    <row r="145" spans="1:17" x14ac:dyDescent="0.25">
      <c r="A145" s="156" t="s">
        <v>111</v>
      </c>
      <c r="B145" s="49">
        <v>0</v>
      </c>
      <c r="C145" s="49">
        <v>0</v>
      </c>
      <c r="D145" s="3">
        <v>0</v>
      </c>
      <c r="E145" s="49">
        <v>0</v>
      </c>
      <c r="F145" s="49">
        <v>0</v>
      </c>
      <c r="G145" s="49">
        <v>0</v>
      </c>
      <c r="H145" s="49">
        <v>187220</v>
      </c>
      <c r="I145" s="49">
        <v>0</v>
      </c>
      <c r="J145" s="49"/>
      <c r="K145" s="49"/>
      <c r="L145" s="49"/>
      <c r="M145" s="49"/>
      <c r="N145" s="49">
        <f t="shared" si="106"/>
        <v>187220</v>
      </c>
      <c r="P145" s="49">
        <f t="shared" si="107"/>
        <v>17020</v>
      </c>
      <c r="Q145" s="49">
        <f t="shared" si="108"/>
        <v>-17020</v>
      </c>
    </row>
    <row r="146" spans="1:17" x14ac:dyDescent="0.25">
      <c r="A146" s="105" t="s">
        <v>112</v>
      </c>
      <c r="B146" s="49">
        <v>-250773118.75999999</v>
      </c>
      <c r="C146" s="49">
        <v>-106292010.51000001</v>
      </c>
      <c r="D146" s="3">
        <v>-199926459.47999999</v>
      </c>
      <c r="E146" s="49">
        <v>-102886856.97</v>
      </c>
      <c r="F146" s="49">
        <v>-60969608.149999999</v>
      </c>
      <c r="G146" s="49">
        <v>-168909239.22</v>
      </c>
      <c r="H146" s="49">
        <v>-211950197.00999999</v>
      </c>
      <c r="I146" s="49">
        <v>-284906461.36000001</v>
      </c>
      <c r="J146" s="49"/>
      <c r="K146" s="49"/>
      <c r="L146" s="49"/>
      <c r="M146" s="49"/>
      <c r="N146" s="49">
        <f t="shared" si="106"/>
        <v>-1386613951.46</v>
      </c>
      <c r="P146" s="49">
        <f t="shared" si="107"/>
        <v>-126055813.76909091</v>
      </c>
      <c r="Q146" s="49">
        <f t="shared" si="108"/>
        <v>126055813.76909091</v>
      </c>
    </row>
    <row r="147" spans="1:17" x14ac:dyDescent="0.25">
      <c r="A147" s="105" t="s">
        <v>113</v>
      </c>
      <c r="B147" s="49">
        <v>-94616255.870000005</v>
      </c>
      <c r="C147" s="49">
        <v>-43709010</v>
      </c>
      <c r="D147" s="3">
        <v>-50522100</v>
      </c>
      <c r="E147" s="49">
        <v>-37084810</v>
      </c>
      <c r="F147" s="49">
        <v>-33297790</v>
      </c>
      <c r="G147" s="49">
        <v>-17687220</v>
      </c>
      <c r="H147" s="49">
        <v>-39772170</v>
      </c>
      <c r="I147" s="49">
        <v>-27463660</v>
      </c>
      <c r="J147" s="49"/>
      <c r="K147" s="49"/>
      <c r="L147" s="49"/>
      <c r="M147" s="49"/>
      <c r="N147" s="49">
        <f t="shared" si="106"/>
        <v>-344153015.87</v>
      </c>
      <c r="P147" s="49">
        <f t="shared" si="107"/>
        <v>-31286637.806363638</v>
      </c>
      <c r="Q147" s="49">
        <f t="shared" si="108"/>
        <v>31286637.806363638</v>
      </c>
    </row>
    <row r="148" spans="1:17" x14ac:dyDescent="0.25">
      <c r="A148" s="105" t="s">
        <v>114</v>
      </c>
      <c r="B148" s="49">
        <v>-39572318.009999998</v>
      </c>
      <c r="C148" s="49">
        <v>-54501789.609999999</v>
      </c>
      <c r="D148" s="3">
        <v>-119003409.98</v>
      </c>
      <c r="E148" s="49">
        <v>-35983600</v>
      </c>
      <c r="F148" s="49">
        <v>-104443889</v>
      </c>
      <c r="G148" s="49">
        <v>-60159775</v>
      </c>
      <c r="H148" s="49">
        <v>-104982039</v>
      </c>
      <c r="I148" s="49">
        <v>-44639850</v>
      </c>
      <c r="J148" s="49"/>
      <c r="K148" s="49"/>
      <c r="L148" s="49"/>
      <c r="M148" s="49"/>
      <c r="N148" s="49">
        <f t="shared" si="106"/>
        <v>-563286670.60000002</v>
      </c>
      <c r="P148" s="49">
        <f t="shared" si="107"/>
        <v>-51207879.145454548</v>
      </c>
      <c r="Q148" s="49">
        <f t="shared" si="108"/>
        <v>51207879.145454548</v>
      </c>
    </row>
    <row r="149" spans="1:17" x14ac:dyDescent="0.25">
      <c r="A149" s="105" t="s">
        <v>115</v>
      </c>
      <c r="B149" s="49">
        <v>0</v>
      </c>
      <c r="C149" s="49">
        <v>-248100</v>
      </c>
      <c r="D149" s="3">
        <v>-337135</v>
      </c>
      <c r="E149" s="49">
        <v>-95680</v>
      </c>
      <c r="F149" s="49">
        <v>0</v>
      </c>
      <c r="G149" s="49">
        <v>-43600</v>
      </c>
      <c r="H149" s="49">
        <v>0</v>
      </c>
      <c r="I149" s="49">
        <v>0</v>
      </c>
      <c r="J149" s="49"/>
      <c r="K149" s="49"/>
      <c r="L149" s="49"/>
      <c r="M149" s="49"/>
      <c r="N149" s="49">
        <f t="shared" si="106"/>
        <v>-724515</v>
      </c>
      <c r="P149" s="49">
        <f t="shared" si="107"/>
        <v>-65865</v>
      </c>
      <c r="Q149" s="49">
        <f t="shared" si="108"/>
        <v>65865</v>
      </c>
    </row>
    <row r="150" spans="1:17" x14ac:dyDescent="0.25">
      <c r="A150" s="156" t="s">
        <v>116</v>
      </c>
      <c r="B150" s="49">
        <v>0</v>
      </c>
      <c r="C150" s="49">
        <v>0</v>
      </c>
      <c r="D150" s="3">
        <v>0</v>
      </c>
      <c r="E150" s="49">
        <v>0</v>
      </c>
      <c r="F150" s="49">
        <v>0</v>
      </c>
      <c r="G150" s="49">
        <v>0</v>
      </c>
      <c r="H150" s="49">
        <v>-188100</v>
      </c>
      <c r="I150" s="49">
        <v>0</v>
      </c>
      <c r="J150" s="49"/>
      <c r="K150" s="49"/>
      <c r="L150" s="49"/>
      <c r="M150" s="49"/>
      <c r="N150" s="49">
        <f t="shared" si="106"/>
        <v>-188100</v>
      </c>
      <c r="P150" s="49">
        <f t="shared" si="107"/>
        <v>-17100</v>
      </c>
      <c r="Q150" s="49">
        <f t="shared" si="108"/>
        <v>17100</v>
      </c>
    </row>
    <row r="151" spans="1:17" x14ac:dyDescent="0.25">
      <c r="A151" s="105" t="s">
        <v>117</v>
      </c>
      <c r="B151" s="49">
        <v>246469534.72</v>
      </c>
      <c r="C151" s="49">
        <v>106061841.73</v>
      </c>
      <c r="D151" s="3">
        <v>199824413.44</v>
      </c>
      <c r="E151" s="49">
        <v>102901638.84999999</v>
      </c>
      <c r="F151" s="49">
        <v>61067887.670000002</v>
      </c>
      <c r="G151" s="49">
        <v>169335911.84</v>
      </c>
      <c r="H151" s="49">
        <v>212243315.12</v>
      </c>
      <c r="I151" s="49">
        <v>285234425.79000002</v>
      </c>
      <c r="J151" s="49"/>
      <c r="K151" s="49"/>
      <c r="L151" s="49"/>
      <c r="M151" s="49"/>
      <c r="N151" s="49">
        <f t="shared" si="106"/>
        <v>1383138969.1599998</v>
      </c>
      <c r="P151" s="49">
        <f t="shared" si="107"/>
        <v>125739906.28727271</v>
      </c>
      <c r="Q151" s="49">
        <f t="shared" si="108"/>
        <v>-125739906.28727271</v>
      </c>
    </row>
    <row r="152" spans="1:17" x14ac:dyDescent="0.25">
      <c r="A152" s="105" t="s">
        <v>118</v>
      </c>
      <c r="B152" s="49">
        <v>57035597.560000002</v>
      </c>
      <c r="C152" s="49">
        <v>15207183.189999999</v>
      </c>
      <c r="D152" s="3">
        <v>56539241.420000002</v>
      </c>
      <c r="E152" s="49">
        <v>530220449.82999998</v>
      </c>
      <c r="F152" s="49">
        <v>504763748.92000002</v>
      </c>
      <c r="G152" s="49">
        <v>868361816.95000005</v>
      </c>
      <c r="H152" s="49">
        <v>303826130.91000003</v>
      </c>
      <c r="I152" s="49">
        <v>310975719.51999998</v>
      </c>
      <c r="J152" s="49"/>
      <c r="K152" s="49"/>
      <c r="L152" s="49"/>
      <c r="M152" s="49"/>
      <c r="N152" s="49">
        <f t="shared" si="106"/>
        <v>2646929888.3000002</v>
      </c>
      <c r="P152" s="49">
        <f t="shared" si="107"/>
        <v>240629989.84545457</v>
      </c>
      <c r="Q152" s="49">
        <f t="shared" si="108"/>
        <v>-240629989.84545457</v>
      </c>
    </row>
    <row r="153" spans="1:17" x14ac:dyDescent="0.25">
      <c r="A153" s="105" t="s">
        <v>119</v>
      </c>
      <c r="B153" s="49">
        <v>598572.09</v>
      </c>
      <c r="C153" s="49">
        <v>1754577.38</v>
      </c>
      <c r="D153" s="3">
        <v>588811.42000000004</v>
      </c>
      <c r="E153" s="49">
        <v>283948.55</v>
      </c>
      <c r="F153" s="49">
        <v>707796.87</v>
      </c>
      <c r="G153" s="49">
        <v>1284752.46</v>
      </c>
      <c r="H153" s="49">
        <v>497824.77</v>
      </c>
      <c r="I153" s="49">
        <v>795083.58</v>
      </c>
      <c r="J153" s="49"/>
      <c r="K153" s="49"/>
      <c r="L153" s="49"/>
      <c r="M153" s="49"/>
      <c r="N153" s="49">
        <f t="shared" si="106"/>
        <v>6511367.1199999992</v>
      </c>
      <c r="P153" s="49">
        <f t="shared" si="107"/>
        <v>591942.46545454534</v>
      </c>
      <c r="Q153" s="49">
        <f t="shared" si="108"/>
        <v>-591942.46545454534</v>
      </c>
    </row>
    <row r="154" spans="1:17" x14ac:dyDescent="0.25">
      <c r="A154" s="105" t="s">
        <v>120</v>
      </c>
      <c r="B154" s="49">
        <v>223864.49</v>
      </c>
      <c r="C154" s="49">
        <v>0</v>
      </c>
      <c r="D154" s="3">
        <v>6537.06</v>
      </c>
      <c r="E154" s="49">
        <v>918411.8</v>
      </c>
      <c r="F154" s="49">
        <v>48550</v>
      </c>
      <c r="G154" s="49">
        <v>0</v>
      </c>
      <c r="H154" s="49">
        <v>28932.61</v>
      </c>
      <c r="I154" s="49">
        <v>247481.95</v>
      </c>
      <c r="J154" s="49"/>
      <c r="K154" s="49"/>
      <c r="L154" s="49"/>
      <c r="M154" s="49"/>
      <c r="N154" s="49">
        <f t="shared" si="106"/>
        <v>1473777.9100000001</v>
      </c>
      <c r="P154" s="49">
        <f t="shared" si="107"/>
        <v>133979.81000000003</v>
      </c>
      <c r="Q154" s="49">
        <f t="shared" si="108"/>
        <v>-133979.81000000003</v>
      </c>
    </row>
    <row r="155" spans="1:17" x14ac:dyDescent="0.25">
      <c r="A155" s="105" t="s">
        <v>121</v>
      </c>
      <c r="B155" s="49">
        <v>170622.29</v>
      </c>
      <c r="C155" s="49">
        <v>-355074.95</v>
      </c>
      <c r="D155" s="3">
        <v>93202.33</v>
      </c>
      <c r="E155" s="49">
        <v>151429.5</v>
      </c>
      <c r="F155" s="49">
        <v>472954.71</v>
      </c>
      <c r="G155" s="49">
        <v>-437756.06</v>
      </c>
      <c r="H155" s="49">
        <v>118154.22</v>
      </c>
      <c r="I155" s="49">
        <v>-187544.92</v>
      </c>
      <c r="J155" s="49"/>
      <c r="K155" s="49"/>
      <c r="L155" s="49"/>
      <c r="M155" s="49"/>
      <c r="N155" s="49">
        <f t="shared" si="106"/>
        <v>25987.119999999995</v>
      </c>
      <c r="P155" s="49">
        <f t="shared" si="107"/>
        <v>2362.4654545454541</v>
      </c>
      <c r="Q155" s="49">
        <f t="shared" si="108"/>
        <v>-2362.4654545454541</v>
      </c>
    </row>
    <row r="156" spans="1:17" x14ac:dyDescent="0.25">
      <c r="A156" s="105" t="s">
        <v>122</v>
      </c>
      <c r="B156" s="49">
        <v>-126361.61</v>
      </c>
      <c r="C156" s="49">
        <v>-158081.74</v>
      </c>
      <c r="D156" s="3">
        <v>-293026.18</v>
      </c>
      <c r="E156" s="49">
        <v>10452.620000000001</v>
      </c>
      <c r="F156" s="49">
        <v>175404.24</v>
      </c>
      <c r="G156" s="49">
        <v>14443.59</v>
      </c>
      <c r="H156" s="49">
        <v>-416683.86</v>
      </c>
      <c r="I156" s="49">
        <v>-13303.72</v>
      </c>
      <c r="J156" s="49"/>
      <c r="K156" s="49"/>
      <c r="L156" s="49"/>
      <c r="M156" s="49"/>
      <c r="N156" s="49">
        <f t="shared" si="106"/>
        <v>-807156.65999999992</v>
      </c>
      <c r="P156" s="49">
        <f t="shared" si="107"/>
        <v>-73377.878181818174</v>
      </c>
      <c r="Q156" s="49">
        <f t="shared" si="108"/>
        <v>73377.878181818174</v>
      </c>
    </row>
    <row r="157" spans="1:17" x14ac:dyDescent="0.25">
      <c r="A157" s="105" t="s">
        <v>123</v>
      </c>
      <c r="B157" s="49">
        <v>18221.580000000002</v>
      </c>
      <c r="C157" s="49">
        <v>-143.22</v>
      </c>
      <c r="D157" s="3">
        <v>554.66999999999996</v>
      </c>
      <c r="E157" s="49">
        <v>-4571.0200000000004</v>
      </c>
      <c r="F157" s="49">
        <v>42.88</v>
      </c>
      <c r="G157" s="49">
        <v>-5187.8100000000004</v>
      </c>
      <c r="H157" s="49">
        <v>-12485.88</v>
      </c>
      <c r="I157" s="49">
        <v>-3196.33</v>
      </c>
      <c r="J157" s="49"/>
      <c r="K157" s="49"/>
      <c r="L157" s="49"/>
      <c r="M157" s="49"/>
      <c r="N157" s="49">
        <f t="shared" si="106"/>
        <v>-6765.130000000001</v>
      </c>
      <c r="P157" s="49">
        <f t="shared" si="107"/>
        <v>-615.01181818181828</v>
      </c>
      <c r="Q157" s="49">
        <f t="shared" si="108"/>
        <v>615.01181818181828</v>
      </c>
    </row>
    <row r="158" spans="1:17" x14ac:dyDescent="0.25">
      <c r="A158" s="105" t="s">
        <v>124</v>
      </c>
      <c r="B158" s="49">
        <v>5399.7</v>
      </c>
      <c r="C158" s="49">
        <v>-3149.21</v>
      </c>
      <c r="D158" s="3">
        <v>6568.13</v>
      </c>
      <c r="E158" s="49">
        <v>405.19</v>
      </c>
      <c r="F158" s="49">
        <v>-182869.11</v>
      </c>
      <c r="G158" s="49">
        <v>-387.53</v>
      </c>
      <c r="H158" s="49">
        <v>-158271.75</v>
      </c>
      <c r="I158" s="49">
        <v>0</v>
      </c>
      <c r="J158" s="49"/>
      <c r="K158" s="49"/>
      <c r="L158" s="49"/>
      <c r="M158" s="49"/>
      <c r="N158" s="49">
        <f t="shared" si="106"/>
        <v>-332304.57999999996</v>
      </c>
      <c r="P158" s="49">
        <f t="shared" si="107"/>
        <v>-30209.507272727267</v>
      </c>
      <c r="Q158" s="49">
        <f t="shared" si="108"/>
        <v>30209.507272727267</v>
      </c>
    </row>
    <row r="159" spans="1:17" x14ac:dyDescent="0.25">
      <c r="A159" s="105" t="s">
        <v>125</v>
      </c>
      <c r="B159" s="49">
        <v>-57233909.109999999</v>
      </c>
      <c r="C159" s="49">
        <v>-15348255</v>
      </c>
      <c r="D159" s="3">
        <v>-56465326.530000001</v>
      </c>
      <c r="E159" s="49">
        <v>-529777770.38</v>
      </c>
      <c r="F159" s="49">
        <v>-504081581.20999998</v>
      </c>
      <c r="G159" s="49">
        <v>-867014981.53999996</v>
      </c>
      <c r="H159" s="49">
        <v>-299329589.75</v>
      </c>
      <c r="I159" s="49">
        <v>-310814046.86000001</v>
      </c>
      <c r="J159" s="49"/>
      <c r="K159" s="49"/>
      <c r="L159" s="49"/>
      <c r="M159" s="49"/>
      <c r="N159" s="49">
        <f t="shared" si="106"/>
        <v>-2640065460.3800001</v>
      </c>
      <c r="P159" s="49">
        <f t="shared" si="107"/>
        <v>-240005950.94363639</v>
      </c>
      <c r="Q159" s="49">
        <f t="shared" si="108"/>
        <v>240005950.94363639</v>
      </c>
    </row>
    <row r="160" spans="1:17" x14ac:dyDescent="0.25">
      <c r="A160" s="105" t="s">
        <v>441</v>
      </c>
      <c r="B160" s="49">
        <v>0</v>
      </c>
      <c r="C160" s="49">
        <v>0</v>
      </c>
      <c r="D160" s="3">
        <v>0</v>
      </c>
      <c r="E160" s="49">
        <v>0</v>
      </c>
      <c r="F160" s="49">
        <v>0</v>
      </c>
      <c r="G160" s="49">
        <v>-3537.84</v>
      </c>
      <c r="H160" s="49">
        <v>-1594.95</v>
      </c>
      <c r="I160" s="49">
        <v>1143.75</v>
      </c>
      <c r="J160" s="49"/>
      <c r="K160" s="49"/>
      <c r="L160" s="49"/>
      <c r="M160" s="49"/>
      <c r="N160" s="49">
        <f t="shared" ref="N160:N182" si="109">SUM(B160:M160)</f>
        <v>-3989.04</v>
      </c>
      <c r="P160" s="49"/>
      <c r="Q160" s="49"/>
    </row>
    <row r="161" spans="1:17" x14ac:dyDescent="0.25">
      <c r="A161" s="105" t="s">
        <v>126</v>
      </c>
      <c r="B161" s="49">
        <v>-626650</v>
      </c>
      <c r="C161" s="49">
        <v>-1795920</v>
      </c>
      <c r="D161" s="3">
        <v>-616939.36</v>
      </c>
      <c r="E161" s="49">
        <v>-282900</v>
      </c>
      <c r="F161" s="49">
        <v>-694270</v>
      </c>
      <c r="G161" s="49">
        <v>-1256000</v>
      </c>
      <c r="H161" s="49">
        <v>-513970.45</v>
      </c>
      <c r="I161" s="49">
        <v>-801420</v>
      </c>
      <c r="J161" s="49"/>
      <c r="K161" s="49"/>
      <c r="L161" s="49"/>
      <c r="M161" s="49"/>
      <c r="N161" s="49">
        <f t="shared" si="109"/>
        <v>-6588069.8099999996</v>
      </c>
      <c r="P161" s="49">
        <f t="shared" si="107"/>
        <v>-598915.43727272726</v>
      </c>
      <c r="Q161" s="49">
        <f t="shared" si="108"/>
        <v>598915.43727272726</v>
      </c>
    </row>
    <row r="162" spans="1:17" x14ac:dyDescent="0.25">
      <c r="A162" s="105" t="s">
        <v>127</v>
      </c>
      <c r="B162" s="49">
        <v>2230495.09</v>
      </c>
      <c r="C162" s="49">
        <v>157077.15</v>
      </c>
      <c r="D162" s="3">
        <v>273729.07</v>
      </c>
      <c r="E162" s="49">
        <v>307005.37</v>
      </c>
      <c r="F162" s="49">
        <v>-462524.73</v>
      </c>
      <c r="G162" s="49">
        <v>-239021.09</v>
      </c>
      <c r="H162" s="49">
        <v>-273397.37</v>
      </c>
      <c r="I162" s="49">
        <v>-459773.78</v>
      </c>
      <c r="J162" s="49"/>
      <c r="K162" s="49"/>
      <c r="L162" s="49"/>
      <c r="M162" s="49"/>
      <c r="N162" s="49">
        <f t="shared" si="109"/>
        <v>1533589.7099999997</v>
      </c>
      <c r="P162" s="49">
        <f t="shared" si="107"/>
        <v>139417.24636363634</v>
      </c>
      <c r="Q162" s="49">
        <f t="shared" si="108"/>
        <v>-139417.24636363634</v>
      </c>
    </row>
    <row r="163" spans="1:17" x14ac:dyDescent="0.25">
      <c r="A163" s="105" t="s">
        <v>128</v>
      </c>
      <c r="B163" s="49">
        <v>132999.03</v>
      </c>
      <c r="C163" s="49">
        <v>1861.72</v>
      </c>
      <c r="D163" s="3">
        <v>104613.37</v>
      </c>
      <c r="E163" s="49">
        <v>1487036.54</v>
      </c>
      <c r="F163" s="49">
        <v>-195552.97</v>
      </c>
      <c r="G163" s="49">
        <v>-463703.41</v>
      </c>
      <c r="H163" s="49">
        <v>-388902.1</v>
      </c>
      <c r="I163" s="49">
        <v>-516832.24</v>
      </c>
      <c r="J163" s="49"/>
      <c r="K163" s="49"/>
      <c r="L163" s="49"/>
      <c r="M163" s="49"/>
      <c r="N163" s="49">
        <f t="shared" si="109"/>
        <v>161519.94000000029</v>
      </c>
      <c r="P163" s="49">
        <f t="shared" si="107"/>
        <v>14683.630909090936</v>
      </c>
      <c r="Q163" s="49">
        <f t="shared" si="108"/>
        <v>-14683.630909090936</v>
      </c>
    </row>
    <row r="164" spans="1:17" x14ac:dyDescent="0.25">
      <c r="A164" s="105" t="s">
        <v>129</v>
      </c>
      <c r="B164" s="49">
        <v>48155.93</v>
      </c>
      <c r="C164" s="49">
        <v>51045.58</v>
      </c>
      <c r="D164" s="3">
        <v>0</v>
      </c>
      <c r="E164" s="49">
        <v>12980.84</v>
      </c>
      <c r="F164" s="49">
        <v>75.5</v>
      </c>
      <c r="G164" s="49">
        <v>0</v>
      </c>
      <c r="H164" s="49">
        <v>-13005.34</v>
      </c>
      <c r="I164" s="49">
        <v>20986.639999999999</v>
      </c>
      <c r="J164" s="49"/>
      <c r="K164" s="49"/>
      <c r="L164" s="49"/>
      <c r="M164" s="49"/>
      <c r="N164" s="49">
        <f t="shared" si="109"/>
        <v>120239.15000000001</v>
      </c>
      <c r="P164" s="49">
        <f t="shared" si="107"/>
        <v>10930.831818181819</v>
      </c>
      <c r="Q164" s="49">
        <f t="shared" si="108"/>
        <v>-10930.831818181819</v>
      </c>
    </row>
    <row r="165" spans="1:17" x14ac:dyDescent="0.25">
      <c r="A165" s="105" t="s">
        <v>130</v>
      </c>
      <c r="B165" s="49">
        <v>888979.59</v>
      </c>
      <c r="C165" s="49">
        <v>5499.6</v>
      </c>
      <c r="D165" s="3">
        <v>-2025.65</v>
      </c>
      <c r="E165" s="49">
        <v>-2516.61</v>
      </c>
      <c r="F165" s="49">
        <v>174609.93</v>
      </c>
      <c r="G165" s="49">
        <v>-356.02</v>
      </c>
      <c r="H165" s="49">
        <v>108192.24</v>
      </c>
      <c r="I165" s="49">
        <v>23422.84</v>
      </c>
      <c r="J165" s="49"/>
      <c r="K165" s="49"/>
      <c r="L165" s="49"/>
      <c r="M165" s="49"/>
      <c r="N165" s="49">
        <f t="shared" si="109"/>
        <v>1195805.92</v>
      </c>
      <c r="P165" s="49">
        <f t="shared" si="107"/>
        <v>108709.62909090909</v>
      </c>
      <c r="Q165" s="49">
        <f t="shared" si="108"/>
        <v>-108709.62909090909</v>
      </c>
    </row>
    <row r="166" spans="1:17" x14ac:dyDescent="0.25">
      <c r="A166" s="105" t="s">
        <v>131</v>
      </c>
      <c r="B166" s="49">
        <v>-241780</v>
      </c>
      <c r="C166" s="49">
        <v>0</v>
      </c>
      <c r="D166" s="3">
        <v>-42034.45</v>
      </c>
      <c r="E166" s="49">
        <f>-916350</f>
        <v>-916350</v>
      </c>
      <c r="F166" s="49">
        <v>-48550</v>
      </c>
      <c r="G166" s="49">
        <v>0</v>
      </c>
      <c r="H166" s="49">
        <v>-48901.66</v>
      </c>
      <c r="I166" s="49">
        <v>-228900</v>
      </c>
      <c r="J166" s="49"/>
      <c r="K166" s="49"/>
      <c r="L166" s="49"/>
      <c r="M166" s="49"/>
      <c r="N166" s="49">
        <f t="shared" si="109"/>
        <v>-1526516.1099999999</v>
      </c>
      <c r="P166" s="49">
        <f t="shared" si="107"/>
        <v>-138774.1918181818</v>
      </c>
      <c r="Q166" s="49">
        <f t="shared" si="108"/>
        <v>138774.1918181818</v>
      </c>
    </row>
    <row r="167" spans="1:17" x14ac:dyDescent="0.25">
      <c r="A167" s="105" t="s">
        <v>132</v>
      </c>
      <c r="B167" s="49">
        <v>0</v>
      </c>
      <c r="C167" s="49">
        <v>800</v>
      </c>
      <c r="D167" s="3">
        <v>0</v>
      </c>
      <c r="E167" s="49">
        <v>0</v>
      </c>
      <c r="F167" s="49">
        <v>0</v>
      </c>
      <c r="G167" s="49">
        <v>0</v>
      </c>
      <c r="H167" s="49">
        <v>0</v>
      </c>
      <c r="I167" s="49">
        <v>0</v>
      </c>
      <c r="J167" s="49"/>
      <c r="K167" s="49"/>
      <c r="L167" s="49"/>
      <c r="M167" s="49"/>
      <c r="N167" s="49">
        <f t="shared" si="109"/>
        <v>800</v>
      </c>
      <c r="P167" s="49">
        <f t="shared" si="107"/>
        <v>72.727272727272734</v>
      </c>
      <c r="Q167" s="49">
        <f t="shared" si="108"/>
        <v>-72.727272727272734</v>
      </c>
    </row>
    <row r="168" spans="1:17" x14ac:dyDescent="0.25">
      <c r="A168" s="105" t="s">
        <v>133</v>
      </c>
      <c r="B168" s="49">
        <v>2682.05</v>
      </c>
      <c r="C168" s="49">
        <v>-1617.38</v>
      </c>
      <c r="D168" s="3">
        <v>5756.07</v>
      </c>
      <c r="E168" s="49">
        <v>9048.32</v>
      </c>
      <c r="F168" s="49">
        <v>11168.19</v>
      </c>
      <c r="G168" s="49">
        <v>3721.59</v>
      </c>
      <c r="H168" s="49">
        <v>6172.25</v>
      </c>
      <c r="I168" s="49">
        <v>7102.98</v>
      </c>
      <c r="J168" s="49"/>
      <c r="K168" s="49"/>
      <c r="L168" s="49"/>
      <c r="M168" s="49"/>
      <c r="N168" s="49">
        <f t="shared" si="109"/>
        <v>44034.069999999992</v>
      </c>
      <c r="P168" s="49">
        <f t="shared" si="107"/>
        <v>4003.097272727272</v>
      </c>
      <c r="Q168" s="49">
        <f t="shared" si="108"/>
        <v>-4003.097272727272</v>
      </c>
    </row>
    <row r="169" spans="1:17" x14ac:dyDescent="0.25">
      <c r="A169" s="105" t="s">
        <v>134</v>
      </c>
      <c r="B169" s="49">
        <v>5000</v>
      </c>
      <c r="C169" s="49">
        <v>16772.5</v>
      </c>
      <c r="D169" s="3">
        <v>-6772.5</v>
      </c>
      <c r="E169" s="49">
        <v>5000</v>
      </c>
      <c r="F169" s="49">
        <v>5000</v>
      </c>
      <c r="G169" s="49">
        <v>5000</v>
      </c>
      <c r="H169" s="49">
        <v>5000</v>
      </c>
      <c r="I169" s="49">
        <v>5000</v>
      </c>
      <c r="J169" s="49"/>
      <c r="K169" s="49"/>
      <c r="L169" s="49"/>
      <c r="M169" s="49"/>
      <c r="N169" s="49">
        <f t="shared" si="109"/>
        <v>40000</v>
      </c>
      <c r="P169" s="49">
        <f t="shared" si="107"/>
        <v>3636.3636363636365</v>
      </c>
      <c r="Q169" s="49">
        <f t="shared" si="108"/>
        <v>-3636.3636363636365</v>
      </c>
    </row>
    <row r="170" spans="1:17" x14ac:dyDescent="0.25">
      <c r="A170" s="105" t="s">
        <v>135</v>
      </c>
      <c r="B170" s="49">
        <v>0</v>
      </c>
      <c r="C170" s="49">
        <v>0</v>
      </c>
      <c r="D170" s="3">
        <v>0</v>
      </c>
      <c r="E170" s="49">
        <v>0</v>
      </c>
      <c r="F170" s="49">
        <v>0</v>
      </c>
      <c r="G170" s="49">
        <v>0</v>
      </c>
      <c r="H170" s="49">
        <v>0</v>
      </c>
      <c r="I170" s="49">
        <v>0</v>
      </c>
      <c r="J170" s="49"/>
      <c r="K170" s="49"/>
      <c r="L170" s="49"/>
      <c r="M170" s="49"/>
      <c r="N170" s="49">
        <f t="shared" si="109"/>
        <v>0</v>
      </c>
      <c r="P170" s="49">
        <f t="shared" si="107"/>
        <v>0</v>
      </c>
      <c r="Q170" s="49">
        <f t="shared" si="108"/>
        <v>0</v>
      </c>
    </row>
    <row r="171" spans="1:17" x14ac:dyDescent="0.25">
      <c r="A171" s="105" t="s">
        <v>136</v>
      </c>
      <c r="B171" s="49">
        <v>20620</v>
      </c>
      <c r="C171" s="49">
        <v>1150</v>
      </c>
      <c r="D171" s="3">
        <v>0</v>
      </c>
      <c r="E171" s="49">
        <v>0</v>
      </c>
      <c r="F171" s="49">
        <v>158944.68</v>
      </c>
      <c r="G171" s="49">
        <v>1357.06</v>
      </c>
      <c r="H171" s="49">
        <v>-3040</v>
      </c>
      <c r="I171" s="49">
        <v>10319.799999999999</v>
      </c>
      <c r="J171" s="49"/>
      <c r="K171" s="49"/>
      <c r="L171" s="49"/>
      <c r="M171" s="49"/>
      <c r="N171" s="49">
        <f t="shared" si="109"/>
        <v>189351.53999999998</v>
      </c>
      <c r="P171" s="49">
        <f t="shared" si="107"/>
        <v>17213.776363636363</v>
      </c>
      <c r="Q171" s="49">
        <f t="shared" si="108"/>
        <v>-17213.776363636363</v>
      </c>
    </row>
    <row r="172" spans="1:17" x14ac:dyDescent="0.25">
      <c r="A172" s="105" t="s">
        <v>137</v>
      </c>
      <c r="B172" s="49">
        <v>2910296.13</v>
      </c>
      <c r="C172" s="49">
        <v>1651163.39</v>
      </c>
      <c r="D172" s="3">
        <v>-414097.59</v>
      </c>
      <c r="E172" s="8">
        <v>959937.83</v>
      </c>
      <c r="F172" s="8">
        <v>-3014399.59</v>
      </c>
      <c r="G172" s="49">
        <v>3160990.11</v>
      </c>
      <c r="H172" s="49">
        <v>-6973390.4900000002</v>
      </c>
      <c r="I172" s="49">
        <v>-1655327.37</v>
      </c>
      <c r="J172" s="49"/>
      <c r="K172" s="49"/>
      <c r="L172" s="49"/>
      <c r="M172" s="49"/>
      <c r="N172" s="48">
        <f t="shared" si="109"/>
        <v>-3374827.580000001</v>
      </c>
      <c r="P172" s="48">
        <f t="shared" si="107"/>
        <v>-306802.50727272738</v>
      </c>
      <c r="Q172" s="48">
        <f t="shared" si="108"/>
        <v>306802.50727272738</v>
      </c>
    </row>
    <row r="173" spans="1:17" x14ac:dyDescent="0.25">
      <c r="A173" s="105" t="s">
        <v>138</v>
      </c>
      <c r="B173" s="49">
        <v>28233.33</v>
      </c>
      <c r="C173" s="49">
        <v>28233.33</v>
      </c>
      <c r="D173" s="3">
        <v>28595.83</v>
      </c>
      <c r="E173" s="49">
        <v>28233.33</v>
      </c>
      <c r="F173" s="49">
        <v>28233.33</v>
      </c>
      <c r="G173" s="49">
        <v>7627.91</v>
      </c>
      <c r="H173" s="49">
        <v>28233.33</v>
      </c>
      <c r="I173" s="49">
        <v>28233.33</v>
      </c>
      <c r="J173" s="49"/>
      <c r="K173" s="49"/>
      <c r="L173" s="49"/>
      <c r="M173" s="49"/>
      <c r="N173" s="49">
        <f t="shared" si="109"/>
        <v>205623.72000000003</v>
      </c>
      <c r="P173" s="49">
        <f t="shared" si="107"/>
        <v>18693.065454545456</v>
      </c>
      <c r="Q173" s="49">
        <f t="shared" si="108"/>
        <v>-18693.065454545456</v>
      </c>
    </row>
    <row r="174" spans="1:17" x14ac:dyDescent="0.25">
      <c r="A174" s="105" t="s">
        <v>139</v>
      </c>
      <c r="B174" s="49">
        <v>0</v>
      </c>
      <c r="C174" s="49">
        <v>878</v>
      </c>
      <c r="D174" s="3">
        <v>0</v>
      </c>
      <c r="E174" s="49">
        <v>0</v>
      </c>
      <c r="F174" s="49">
        <v>620</v>
      </c>
      <c r="G174" s="49">
        <v>0</v>
      </c>
      <c r="H174" s="49">
        <v>12</v>
      </c>
      <c r="I174" s="49">
        <v>0</v>
      </c>
      <c r="J174" s="49"/>
      <c r="K174" s="49"/>
      <c r="L174" s="49"/>
      <c r="M174" s="49"/>
      <c r="N174" s="49">
        <f t="shared" si="109"/>
        <v>1510</v>
      </c>
      <c r="P174" s="49">
        <f t="shared" si="107"/>
        <v>137.27272727272728</v>
      </c>
      <c r="Q174" s="49">
        <f t="shared" si="108"/>
        <v>-137.27272727272728</v>
      </c>
    </row>
    <row r="175" spans="1:17" x14ac:dyDescent="0.25">
      <c r="A175" s="105" t="s">
        <v>140</v>
      </c>
      <c r="B175" s="49">
        <v>935.34</v>
      </c>
      <c r="C175" s="49">
        <v>6097.82</v>
      </c>
      <c r="D175" s="3">
        <v>0</v>
      </c>
      <c r="E175" s="49">
        <v>924</v>
      </c>
      <c r="F175" s="49">
        <v>0</v>
      </c>
      <c r="G175" s="49">
        <v>0</v>
      </c>
      <c r="H175" s="49">
        <v>0</v>
      </c>
      <c r="I175" s="49">
        <v>6764.11</v>
      </c>
      <c r="J175" s="49"/>
      <c r="K175" s="49"/>
      <c r="L175" s="49"/>
      <c r="M175" s="49"/>
      <c r="N175" s="49">
        <f t="shared" si="109"/>
        <v>14721.27</v>
      </c>
      <c r="P175" s="49">
        <f t="shared" si="107"/>
        <v>1338.2972727272727</v>
      </c>
      <c r="Q175" s="49">
        <f t="shared" si="108"/>
        <v>-1338.2972727272727</v>
      </c>
    </row>
    <row r="176" spans="1:17" x14ac:dyDescent="0.25">
      <c r="A176" s="105" t="s">
        <v>141</v>
      </c>
      <c r="B176" s="49">
        <v>13984.01</v>
      </c>
      <c r="C176" s="49">
        <v>16090.71</v>
      </c>
      <c r="D176" s="3">
        <v>17832.23</v>
      </c>
      <c r="E176" s="49">
        <v>16363.64</v>
      </c>
      <c r="F176" s="49">
        <v>18902.009999999998</v>
      </c>
      <c r="G176" s="49">
        <v>15846.75</v>
      </c>
      <c r="H176" s="49">
        <v>13522.84</v>
      </c>
      <c r="I176" s="49">
        <v>14007.24</v>
      </c>
      <c r="J176" s="49"/>
      <c r="K176" s="49"/>
      <c r="L176" s="49"/>
      <c r="M176" s="49"/>
      <c r="N176" s="49">
        <f t="shared" si="109"/>
        <v>126549.43</v>
      </c>
      <c r="P176" s="49">
        <f t="shared" si="107"/>
        <v>11504.493636363635</v>
      </c>
      <c r="Q176" s="49">
        <f t="shared" si="108"/>
        <v>-11504.493636363635</v>
      </c>
    </row>
    <row r="177" spans="1:17" x14ac:dyDescent="0.25">
      <c r="A177" s="105" t="s">
        <v>142</v>
      </c>
      <c r="B177" s="49">
        <v>0</v>
      </c>
      <c r="C177" s="49">
        <v>2779.92</v>
      </c>
      <c r="D177" s="3">
        <v>3901.48</v>
      </c>
      <c r="E177" s="49">
        <v>3738.32</v>
      </c>
      <c r="F177" s="49">
        <v>2514.86</v>
      </c>
      <c r="G177" s="49">
        <v>3378.54</v>
      </c>
      <c r="H177" s="49">
        <v>1013.2</v>
      </c>
      <c r="I177" s="49">
        <v>2380.56</v>
      </c>
      <c r="J177" s="49"/>
      <c r="K177" s="49"/>
      <c r="L177" s="49"/>
      <c r="M177" s="49"/>
      <c r="N177" s="49">
        <f t="shared" si="109"/>
        <v>19706.88</v>
      </c>
      <c r="P177" s="49">
        <f t="shared" si="107"/>
        <v>1791.5345454545457</v>
      </c>
      <c r="Q177" s="49">
        <f t="shared" si="108"/>
        <v>-1791.5345454545457</v>
      </c>
    </row>
    <row r="178" spans="1:17" x14ac:dyDescent="0.25">
      <c r="A178" s="105" t="s">
        <v>143</v>
      </c>
      <c r="B178" s="49">
        <v>0</v>
      </c>
      <c r="C178" s="49">
        <v>0</v>
      </c>
      <c r="D178" s="3">
        <v>0</v>
      </c>
      <c r="E178" s="49">
        <v>0</v>
      </c>
      <c r="F178" s="49">
        <v>-72</v>
      </c>
      <c r="G178" s="49">
        <v>0</v>
      </c>
      <c r="H178" s="49">
        <v>-72</v>
      </c>
      <c r="I178" s="49">
        <v>-198</v>
      </c>
      <c r="J178" s="49"/>
      <c r="K178" s="49"/>
      <c r="L178" s="49"/>
      <c r="M178" s="49"/>
      <c r="N178" s="49">
        <f t="shared" si="109"/>
        <v>-342</v>
      </c>
      <c r="P178" s="49">
        <f t="shared" si="107"/>
        <v>-31.09090909090909</v>
      </c>
      <c r="Q178" s="49">
        <f t="shared" si="108"/>
        <v>31.09090909090909</v>
      </c>
    </row>
    <row r="179" spans="1:17" x14ac:dyDescent="0.25">
      <c r="A179" s="105" t="s">
        <v>144</v>
      </c>
      <c r="B179" s="49">
        <v>1.87</v>
      </c>
      <c r="C179" s="49">
        <v>0</v>
      </c>
      <c r="D179" s="49">
        <v>-115.12</v>
      </c>
      <c r="E179" s="49">
        <v>3216.06</v>
      </c>
      <c r="F179" s="49">
        <v>-2308</v>
      </c>
      <c r="G179" s="49">
        <v>0</v>
      </c>
      <c r="H179" s="49">
        <v>0</v>
      </c>
      <c r="I179" s="49">
        <v>0</v>
      </c>
      <c r="J179" s="49"/>
      <c r="K179" s="49"/>
      <c r="L179" s="49"/>
      <c r="M179" s="49"/>
      <c r="N179" s="49">
        <f t="shared" si="109"/>
        <v>794.81</v>
      </c>
      <c r="P179" s="49">
        <f t="shared" si="107"/>
        <v>72.25545454545454</v>
      </c>
      <c r="Q179" s="49">
        <f t="shared" si="108"/>
        <v>-72.25545454545454</v>
      </c>
    </row>
    <row r="180" spans="1:17" x14ac:dyDescent="0.25">
      <c r="A180" s="105" t="s">
        <v>145</v>
      </c>
      <c r="B180" s="49">
        <v>655.42</v>
      </c>
      <c r="C180" s="49">
        <v>-345.3</v>
      </c>
      <c r="D180" s="49">
        <v>-1325.46</v>
      </c>
      <c r="E180" s="49">
        <v>-3163.28</v>
      </c>
      <c r="F180" s="49">
        <v>-3813.42</v>
      </c>
      <c r="G180" s="49">
        <v>-5151.74</v>
      </c>
      <c r="H180" s="49">
        <v>-2238.48</v>
      </c>
      <c r="I180" s="49">
        <v>-4687.5200000000004</v>
      </c>
      <c r="J180" s="49"/>
      <c r="K180" s="49"/>
      <c r="L180" s="49"/>
      <c r="M180" s="49"/>
      <c r="N180" s="49">
        <f t="shared" si="109"/>
        <v>-20069.78</v>
      </c>
      <c r="P180" s="49">
        <f t="shared" si="107"/>
        <v>-1824.5254545454545</v>
      </c>
      <c r="Q180" s="49">
        <f t="shared" si="108"/>
        <v>1824.5254545454545</v>
      </c>
    </row>
    <row r="181" spans="1:17" ht="15.6" customHeight="1" x14ac:dyDescent="0.25">
      <c r="A181" s="105" t="s">
        <v>146</v>
      </c>
      <c r="B181" s="49">
        <v>-260</v>
      </c>
      <c r="C181" s="49">
        <v>0</v>
      </c>
      <c r="D181" s="49">
        <v>-15</v>
      </c>
      <c r="E181" s="49">
        <f>-15</f>
        <v>-15</v>
      </c>
      <c r="F181" s="49">
        <v>0</v>
      </c>
      <c r="G181" s="49">
        <v>0</v>
      </c>
      <c r="H181" s="49">
        <v>-52.5</v>
      </c>
      <c r="I181" s="49">
        <v>0</v>
      </c>
      <c r="J181" s="49"/>
      <c r="K181" s="49"/>
      <c r="L181" s="49"/>
      <c r="M181" s="49"/>
      <c r="N181" s="49">
        <f t="shared" si="109"/>
        <v>-342.5</v>
      </c>
      <c r="P181" s="49">
        <f t="shared" si="107"/>
        <v>-31.136363636363637</v>
      </c>
      <c r="Q181" s="49">
        <f t="shared" si="108"/>
        <v>31.136363636363637</v>
      </c>
    </row>
    <row r="182" spans="1:17" ht="15.6" customHeight="1" x14ac:dyDescent="0.25">
      <c r="A182" s="105" t="s">
        <v>147</v>
      </c>
      <c r="B182" s="49">
        <v>0</v>
      </c>
      <c r="C182" s="49">
        <v>0</v>
      </c>
      <c r="D182" s="49">
        <v>0</v>
      </c>
      <c r="E182" s="49">
        <v>168314.67</v>
      </c>
      <c r="F182" s="49">
        <v>0</v>
      </c>
      <c r="G182" s="49">
        <v>1178.56</v>
      </c>
      <c r="H182" s="49">
        <v>707.78</v>
      </c>
      <c r="I182" s="49">
        <v>73.5</v>
      </c>
      <c r="J182" s="49"/>
      <c r="K182" s="49"/>
      <c r="L182" s="49"/>
      <c r="M182" s="49"/>
      <c r="N182" s="49">
        <f t="shared" si="109"/>
        <v>170274.51</v>
      </c>
      <c r="P182" s="49"/>
      <c r="Q182" s="49"/>
    </row>
    <row r="183" spans="1:17" s="151" customFormat="1" ht="15.6" customHeight="1" x14ac:dyDescent="0.25">
      <c r="A183" s="5" t="s">
        <v>468</v>
      </c>
      <c r="B183" s="49"/>
      <c r="C183" s="49"/>
      <c r="D183" s="49"/>
      <c r="E183" s="49"/>
      <c r="F183" s="49"/>
      <c r="G183" s="49">
        <v>0</v>
      </c>
      <c r="H183" s="49">
        <v>0</v>
      </c>
      <c r="I183" s="49">
        <v>3682.32</v>
      </c>
      <c r="J183" s="49"/>
      <c r="K183" s="49"/>
      <c r="L183" s="49"/>
      <c r="M183" s="49"/>
      <c r="N183" s="49">
        <f t="shared" ref="N183" si="110">SUM(B183:M183)</f>
        <v>3682.32</v>
      </c>
      <c r="O183" s="152"/>
      <c r="P183" s="49"/>
      <c r="Q183" s="49"/>
    </row>
    <row r="184" spans="1:17" ht="15.6" customHeight="1" x14ac:dyDescent="0.25">
      <c r="A184" s="105" t="s">
        <v>148</v>
      </c>
      <c r="B184" s="49">
        <v>0</v>
      </c>
      <c r="C184" s="49">
        <v>0</v>
      </c>
      <c r="D184" s="49">
        <v>0</v>
      </c>
      <c r="E184" s="49">
        <v>12675.04</v>
      </c>
      <c r="F184" s="49">
        <v>-0.02</v>
      </c>
      <c r="G184" s="49">
        <v>0</v>
      </c>
      <c r="H184" s="49">
        <v>164595.71</v>
      </c>
      <c r="I184" s="49">
        <v>146739.68</v>
      </c>
      <c r="J184" s="49"/>
      <c r="K184" s="49"/>
      <c r="L184" s="49"/>
      <c r="M184" s="49"/>
      <c r="N184" s="49">
        <f>SUM(B184:M184)</f>
        <v>324010.40999999997</v>
      </c>
      <c r="P184" s="49"/>
      <c r="Q184" s="49"/>
    </row>
    <row r="185" spans="1:17" ht="15.6" customHeight="1" x14ac:dyDescent="0.25">
      <c r="A185" s="105" t="s">
        <v>460</v>
      </c>
      <c r="B185" s="49">
        <v>0</v>
      </c>
      <c r="C185" s="49">
        <v>0</v>
      </c>
      <c r="D185" s="49">
        <v>0</v>
      </c>
      <c r="E185" s="49">
        <v>0</v>
      </c>
      <c r="F185" s="49">
        <v>0</v>
      </c>
      <c r="G185" s="49">
        <v>0</v>
      </c>
      <c r="H185" s="49">
        <v>-4850.6000000000004</v>
      </c>
      <c r="I185" s="49">
        <v>-8842.1</v>
      </c>
      <c r="J185" s="49"/>
      <c r="K185" s="49"/>
      <c r="L185" s="49"/>
      <c r="M185" s="49"/>
      <c r="N185" s="49">
        <f>SUM(B185:M185)</f>
        <v>-13692.7</v>
      </c>
      <c r="P185" s="49"/>
      <c r="Q185" s="49"/>
    </row>
    <row r="186" spans="1:17" s="151" customFormat="1" ht="15.6" customHeight="1" x14ac:dyDescent="0.25">
      <c r="A186" s="5" t="s">
        <v>469</v>
      </c>
      <c r="B186" s="49"/>
      <c r="C186" s="49"/>
      <c r="D186" s="49"/>
      <c r="E186" s="49"/>
      <c r="F186" s="49"/>
      <c r="G186" s="49">
        <v>0</v>
      </c>
      <c r="H186" s="49">
        <v>0</v>
      </c>
      <c r="I186" s="49">
        <v>-686.87</v>
      </c>
      <c r="J186" s="49"/>
      <c r="K186" s="49"/>
      <c r="L186" s="49"/>
      <c r="M186" s="49"/>
      <c r="N186" s="49">
        <f t="shared" ref="N186" si="111">SUM(B186:M186)</f>
        <v>-686.87</v>
      </c>
      <c r="O186" s="152"/>
      <c r="P186" s="49"/>
      <c r="Q186" s="49"/>
    </row>
    <row r="187" spans="1:17" ht="15.6" customHeight="1" x14ac:dyDescent="0.25">
      <c r="A187" s="105" t="s">
        <v>439</v>
      </c>
      <c r="B187" s="49">
        <v>0</v>
      </c>
      <c r="C187" s="49">
        <v>0</v>
      </c>
      <c r="D187" s="49">
        <v>0</v>
      </c>
      <c r="E187" s="49">
        <v>0</v>
      </c>
      <c r="F187" s="49">
        <v>0</v>
      </c>
      <c r="G187" s="49">
        <v>29.46</v>
      </c>
      <c r="H187" s="49">
        <v>61.84</v>
      </c>
      <c r="I187" s="49">
        <v>0</v>
      </c>
      <c r="J187" s="49"/>
      <c r="K187" s="49"/>
      <c r="L187" s="49"/>
      <c r="M187" s="49"/>
      <c r="N187" s="49">
        <f>SUM(B187:M187)</f>
        <v>91.300000000000011</v>
      </c>
      <c r="P187" s="49"/>
      <c r="Q187" s="49"/>
    </row>
    <row r="188" spans="1:17" ht="15.6" customHeight="1" x14ac:dyDescent="0.25">
      <c r="A188" s="105" t="s">
        <v>440</v>
      </c>
      <c r="B188" s="49">
        <v>0</v>
      </c>
      <c r="C188" s="49">
        <v>0</v>
      </c>
      <c r="D188" s="49">
        <v>0</v>
      </c>
      <c r="E188" s="49">
        <v>0</v>
      </c>
      <c r="F188" s="49">
        <v>0</v>
      </c>
      <c r="G188" s="49">
        <v>0</v>
      </c>
      <c r="H188" s="49">
        <v>100.32</v>
      </c>
      <c r="I188" s="49">
        <v>-1577.17</v>
      </c>
      <c r="J188" s="49"/>
      <c r="K188" s="49"/>
      <c r="L188" s="49"/>
      <c r="M188" s="49"/>
      <c r="N188" s="49">
        <f>SUM(B188:M188)</f>
        <v>-1476.8500000000001</v>
      </c>
      <c r="P188" s="49"/>
      <c r="Q188" s="49"/>
    </row>
    <row r="189" spans="1:17" ht="15.6" customHeight="1" x14ac:dyDescent="0.25">
      <c r="A189" s="5" t="s">
        <v>456</v>
      </c>
      <c r="B189" s="49">
        <v>0</v>
      </c>
      <c r="C189" s="49">
        <v>0</v>
      </c>
      <c r="D189" s="49">
        <v>0</v>
      </c>
      <c r="E189" s="49">
        <v>0</v>
      </c>
      <c r="F189" s="49">
        <v>0</v>
      </c>
      <c r="G189" s="49">
        <v>0</v>
      </c>
      <c r="H189" s="49">
        <v>168</v>
      </c>
      <c r="I189" s="49">
        <v>0</v>
      </c>
      <c r="J189" s="49"/>
      <c r="K189" s="49"/>
      <c r="L189" s="49"/>
      <c r="M189" s="49"/>
      <c r="N189" s="49">
        <f>SUM(B189:M189)</f>
        <v>168</v>
      </c>
      <c r="P189" s="49"/>
      <c r="Q189" s="49"/>
    </row>
    <row r="190" spans="1:17" s="33" customFormat="1" x14ac:dyDescent="0.25">
      <c r="A190" s="113" t="s">
        <v>149</v>
      </c>
      <c r="B190" s="35">
        <f>SUM(B128:B189)</f>
        <v>584692821.1099999</v>
      </c>
      <c r="C190" s="35">
        <f t="shared" ref="C190:F190" si="112">SUM(C128:C188)</f>
        <v>1326064718.7600005</v>
      </c>
      <c r="D190" s="35">
        <f t="shared" si="112"/>
        <v>407886159.28000009</v>
      </c>
      <c r="E190" s="35">
        <f>SUM(E128:E189)</f>
        <v>144492603.92999986</v>
      </c>
      <c r="F190" s="35">
        <f t="shared" si="112"/>
        <v>212099725.4200002</v>
      </c>
      <c r="G190" s="35">
        <f>SUM(G128:G189)</f>
        <v>355772504.34000009</v>
      </c>
      <c r="H190" s="35">
        <f>SUM(H128:H189)</f>
        <v>291293762.78999996</v>
      </c>
      <c r="I190" s="35">
        <f>SUM(I128:I189)</f>
        <v>454018087.06999999</v>
      </c>
      <c r="J190" s="35">
        <f>SUM(J128:J181)</f>
        <v>0</v>
      </c>
      <c r="K190" s="35">
        <f>SUM(K128:K181)</f>
        <v>0</v>
      </c>
      <c r="L190" s="35">
        <f>SUM(L128:L181)</f>
        <v>0</v>
      </c>
      <c r="M190" s="35">
        <f>SUM(M128:M181)</f>
        <v>0</v>
      </c>
      <c r="N190" s="35">
        <f>SUM(N128:N189)</f>
        <v>3776320382.6999998</v>
      </c>
      <c r="P190" s="35">
        <f t="shared" si="107"/>
        <v>343301852.97272724</v>
      </c>
      <c r="Q190" s="35">
        <f t="shared" si="108"/>
        <v>-343301852.97272724</v>
      </c>
    </row>
    <row r="191" spans="1:17" s="33" customFormat="1" ht="15.75" thickBot="1" x14ac:dyDescent="0.3">
      <c r="A191" s="113" t="s">
        <v>150</v>
      </c>
      <c r="B191" s="34">
        <f t="shared" ref="B191:G191" si="113">B126-B190</f>
        <v>697510.16000008583</v>
      </c>
      <c r="C191" s="34">
        <f t="shared" si="113"/>
        <v>624547.37999987602</v>
      </c>
      <c r="D191" s="34">
        <f t="shared" si="113"/>
        <v>769919.81999999285</v>
      </c>
      <c r="E191" s="34">
        <f t="shared" si="113"/>
        <v>477580.01000010967</v>
      </c>
      <c r="F191" s="34">
        <f t="shared" si="113"/>
        <v>386606.16999977827</v>
      </c>
      <c r="G191" s="34">
        <f t="shared" si="113"/>
        <v>532374.25999993086</v>
      </c>
      <c r="H191" s="34">
        <f t="shared" ref="H191" si="114">H126-H190</f>
        <v>339887.33999991417</v>
      </c>
      <c r="I191" s="34">
        <f>I126-I190</f>
        <v>406594.80999988317</v>
      </c>
      <c r="J191" s="34">
        <f>J126-J190</f>
        <v>0</v>
      </c>
      <c r="K191" s="34">
        <f>K126-K190</f>
        <v>0</v>
      </c>
      <c r="L191" s="34">
        <f>L126-L190</f>
        <v>0</v>
      </c>
      <c r="M191" s="34">
        <f>M126-M190</f>
        <v>0</v>
      </c>
      <c r="N191" s="34">
        <f>SUM(B191:M191)</f>
        <v>4235019.9499995708</v>
      </c>
      <c r="P191" s="34">
        <f t="shared" si="107"/>
        <v>385001.8136363246</v>
      </c>
      <c r="Q191" s="34">
        <f t="shared" si="108"/>
        <v>-385001.8136363246</v>
      </c>
    </row>
    <row r="192" spans="1:17" ht="15.75" thickTop="1" x14ac:dyDescent="0.25"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P192" s="49">
        <f t="shared" si="107"/>
        <v>0</v>
      </c>
      <c r="Q192" s="49">
        <f t="shared" si="108"/>
        <v>0</v>
      </c>
    </row>
    <row r="193" spans="1:17" x14ac:dyDescent="0.25">
      <c r="A193" s="105" t="s">
        <v>151</v>
      </c>
      <c r="B193" s="49">
        <v>321540.08</v>
      </c>
      <c r="C193" s="49">
        <v>265057.82</v>
      </c>
      <c r="D193" s="49">
        <v>284816.11</v>
      </c>
      <c r="E193" s="49">
        <v>286945.63</v>
      </c>
      <c r="F193" s="49">
        <v>338930.51</v>
      </c>
      <c r="G193" s="49">
        <v>336452.67</v>
      </c>
      <c r="H193" s="49">
        <v>332380.34000000003</v>
      </c>
      <c r="I193" s="49">
        <v>332790.09000000003</v>
      </c>
      <c r="J193" s="49"/>
      <c r="K193" s="49"/>
      <c r="L193" s="49"/>
      <c r="M193" s="49"/>
      <c r="N193" s="49">
        <f t="shared" ref="N193:N203" si="115">SUM(B193:M193)</f>
        <v>2498913.25</v>
      </c>
      <c r="P193" s="49">
        <f t="shared" si="107"/>
        <v>227173.93181818182</v>
      </c>
      <c r="Q193" s="49">
        <f t="shared" si="108"/>
        <v>-227173.93181818182</v>
      </c>
    </row>
    <row r="194" spans="1:17" x14ac:dyDescent="0.25">
      <c r="A194" s="105" t="s">
        <v>152</v>
      </c>
      <c r="B194" s="49">
        <v>0</v>
      </c>
      <c r="C194" s="49">
        <v>0</v>
      </c>
      <c r="D194" s="49">
        <v>0</v>
      </c>
      <c r="E194" s="49">
        <v>0</v>
      </c>
      <c r="F194" s="49">
        <v>0</v>
      </c>
      <c r="G194" s="49">
        <v>0</v>
      </c>
      <c r="H194" s="49">
        <v>0</v>
      </c>
      <c r="I194" s="49">
        <v>0</v>
      </c>
      <c r="J194" s="49"/>
      <c r="K194" s="49"/>
      <c r="L194" s="49"/>
      <c r="M194" s="49"/>
      <c r="N194" s="49">
        <f t="shared" si="115"/>
        <v>0</v>
      </c>
      <c r="P194" s="49">
        <f t="shared" si="107"/>
        <v>0</v>
      </c>
      <c r="Q194" s="49">
        <f t="shared" si="108"/>
        <v>0</v>
      </c>
    </row>
    <row r="195" spans="1:17" x14ac:dyDescent="0.25">
      <c r="A195" s="105" t="s">
        <v>153</v>
      </c>
      <c r="B195" s="49">
        <v>0</v>
      </c>
      <c r="C195" s="49">
        <v>4088</v>
      </c>
      <c r="D195" s="3">
        <v>4088</v>
      </c>
      <c r="E195" s="49">
        <v>4088</v>
      </c>
      <c r="F195" s="49">
        <v>4088</v>
      </c>
      <c r="G195" s="49">
        <v>-2599</v>
      </c>
      <c r="H195" s="49">
        <f>[7]Sheet1!$R$95</f>
        <v>4088</v>
      </c>
      <c r="I195" s="49">
        <v>4088</v>
      </c>
      <c r="J195" s="49"/>
      <c r="K195" s="49"/>
      <c r="L195" s="49"/>
      <c r="M195" s="49"/>
      <c r="N195" s="49">
        <f t="shared" si="115"/>
        <v>21929</v>
      </c>
      <c r="P195" s="49">
        <f t="shared" si="107"/>
        <v>1993.5454545454545</v>
      </c>
      <c r="Q195" s="49">
        <f t="shared" si="108"/>
        <v>-1993.5454545454545</v>
      </c>
    </row>
    <row r="196" spans="1:17" x14ac:dyDescent="0.25">
      <c r="A196" s="105" t="s">
        <v>154</v>
      </c>
      <c r="B196" s="49">
        <v>34485.919999999998</v>
      </c>
      <c r="C196" s="49">
        <v>25848.55</v>
      </c>
      <c r="D196" s="3">
        <v>25451.64</v>
      </c>
      <c r="E196" s="49">
        <v>26482.85</v>
      </c>
      <c r="F196" s="49">
        <v>27594.59</v>
      </c>
      <c r="G196" s="49">
        <v>26155.119999999999</v>
      </c>
      <c r="H196" s="49">
        <f>[7]Sheet1!$R$96</f>
        <v>24572.799999999999</v>
      </c>
      <c r="I196" s="49">
        <v>24177.29</v>
      </c>
      <c r="J196" s="49"/>
      <c r="K196" s="49"/>
      <c r="L196" s="49"/>
      <c r="M196" s="49"/>
      <c r="N196" s="49">
        <f t="shared" si="115"/>
        <v>214768.75999999998</v>
      </c>
      <c r="P196" s="49">
        <f t="shared" si="107"/>
        <v>19524.432727272724</v>
      </c>
      <c r="Q196" s="49">
        <f t="shared" si="108"/>
        <v>-19524.432727272724</v>
      </c>
    </row>
    <row r="197" spans="1:17" x14ac:dyDescent="0.25">
      <c r="A197" s="105" t="s">
        <v>155</v>
      </c>
      <c r="B197" s="49">
        <v>34701.300000000003</v>
      </c>
      <c r="C197" s="49">
        <v>29078.31</v>
      </c>
      <c r="D197" s="3">
        <v>14776.7</v>
      </c>
      <c r="E197" s="49">
        <v>22093.19</v>
      </c>
      <c r="F197" s="49">
        <v>36544.94</v>
      </c>
      <c r="G197" s="49">
        <v>29148.65</v>
      </c>
      <c r="H197" s="49">
        <f>[7]Sheet1!$R$97</f>
        <v>26044.41</v>
      </c>
      <c r="I197" s="49">
        <v>23927.88</v>
      </c>
      <c r="J197" s="49"/>
      <c r="K197" s="49"/>
      <c r="L197" s="49"/>
      <c r="M197" s="49"/>
      <c r="N197" s="49">
        <f t="shared" si="115"/>
        <v>216315.38</v>
      </c>
      <c r="P197" s="49">
        <f t="shared" si="107"/>
        <v>19665.034545454546</v>
      </c>
      <c r="Q197" s="49">
        <f t="shared" si="108"/>
        <v>-19665.034545454546</v>
      </c>
    </row>
    <row r="198" spans="1:17" x14ac:dyDescent="0.25">
      <c r="A198" s="105" t="s">
        <v>156</v>
      </c>
      <c r="B198" s="49">
        <v>3985.86</v>
      </c>
      <c r="C198" s="49">
        <v>4106.21</v>
      </c>
      <c r="D198" s="3">
        <v>4155.76</v>
      </c>
      <c r="E198" s="49">
        <v>3572.78</v>
      </c>
      <c r="F198" s="49">
        <v>2661.9</v>
      </c>
      <c r="G198" s="49">
        <v>4701.25</v>
      </c>
      <c r="H198" s="49">
        <f>[7]Sheet1!$R$98</f>
        <v>4559.01</v>
      </c>
      <c r="I198" s="49">
        <v>4006.17</v>
      </c>
      <c r="J198" s="49"/>
      <c r="K198" s="49"/>
      <c r="L198" s="49"/>
      <c r="M198" s="49"/>
      <c r="N198" s="49">
        <f t="shared" si="115"/>
        <v>31748.940000000002</v>
      </c>
      <c r="P198" s="49">
        <f t="shared" si="107"/>
        <v>2886.2672727272729</v>
      </c>
      <c r="Q198" s="49">
        <f t="shared" si="108"/>
        <v>-2886.2672727272729</v>
      </c>
    </row>
    <row r="199" spans="1:17" x14ac:dyDescent="0.25">
      <c r="A199" s="105" t="s">
        <v>157</v>
      </c>
      <c r="B199" s="49">
        <v>9167</v>
      </c>
      <c r="C199" s="49">
        <v>9167</v>
      </c>
      <c r="D199" s="3">
        <v>9167</v>
      </c>
      <c r="E199" s="49">
        <v>9167</v>
      </c>
      <c r="F199" s="49">
        <v>9167</v>
      </c>
      <c r="G199" s="49">
        <v>8600</v>
      </c>
      <c r="H199" s="49">
        <f>[7]Sheet1!$R$99</f>
        <v>8600</v>
      </c>
      <c r="I199" s="49">
        <v>8600</v>
      </c>
      <c r="J199" s="49"/>
      <c r="K199" s="49"/>
      <c r="L199" s="49"/>
      <c r="M199" s="49"/>
      <c r="N199" s="49">
        <f t="shared" si="115"/>
        <v>71635</v>
      </c>
      <c r="P199" s="49">
        <f t="shared" si="107"/>
        <v>6512.272727272727</v>
      </c>
      <c r="Q199" s="49">
        <f t="shared" si="108"/>
        <v>-6512.272727272727</v>
      </c>
    </row>
    <row r="200" spans="1:17" x14ac:dyDescent="0.25">
      <c r="A200" s="105" t="s">
        <v>158</v>
      </c>
      <c r="B200" s="49">
        <v>116.2</v>
      </c>
      <c r="C200" s="49">
        <v>164.9</v>
      </c>
      <c r="D200" s="3">
        <v>55.05</v>
      </c>
      <c r="E200" s="49">
        <v>59.95</v>
      </c>
      <c r="F200" s="49">
        <v>100</v>
      </c>
      <c r="G200" s="49">
        <v>59.95</v>
      </c>
      <c r="H200" s="49">
        <f>[7]Sheet1!$R$100</f>
        <v>1600</v>
      </c>
      <c r="I200" s="49">
        <v>0</v>
      </c>
      <c r="J200" s="49"/>
      <c r="K200" s="49"/>
      <c r="L200" s="49"/>
      <c r="M200" s="49"/>
      <c r="N200" s="49">
        <f t="shared" si="115"/>
        <v>2156.0500000000002</v>
      </c>
      <c r="P200" s="49">
        <f t="shared" si="107"/>
        <v>196.00454545454548</v>
      </c>
      <c r="Q200" s="49">
        <f t="shared" si="108"/>
        <v>-196.00454545454548</v>
      </c>
    </row>
    <row r="201" spans="1:17" x14ac:dyDescent="0.25">
      <c r="A201" s="105" t="s">
        <v>159</v>
      </c>
      <c r="B201" s="49">
        <v>1196.75</v>
      </c>
      <c r="C201" s="49">
        <v>1627.2</v>
      </c>
      <c r="D201" s="3">
        <v>1115.29</v>
      </c>
      <c r="E201" s="49">
        <v>1152.68</v>
      </c>
      <c r="F201" s="49">
        <v>1252.42</v>
      </c>
      <c r="G201" s="49">
        <v>1063.43</v>
      </c>
      <c r="H201" s="49">
        <f>[7]Sheet1!$R$101</f>
        <v>1388.91</v>
      </c>
      <c r="I201" s="49">
        <v>1086.9000000000001</v>
      </c>
      <c r="J201" s="49"/>
      <c r="K201" s="49"/>
      <c r="L201" s="49"/>
      <c r="M201" s="49"/>
      <c r="N201" s="49">
        <f t="shared" si="115"/>
        <v>9883.58</v>
      </c>
      <c r="P201" s="49">
        <f t="shared" si="107"/>
        <v>898.50727272727272</v>
      </c>
      <c r="Q201" s="49">
        <f t="shared" si="108"/>
        <v>-898.50727272727272</v>
      </c>
    </row>
    <row r="202" spans="1:17" x14ac:dyDescent="0.25">
      <c r="A202" s="105" t="s">
        <v>160</v>
      </c>
      <c r="B202" s="49">
        <v>0</v>
      </c>
      <c r="C202" s="49">
        <v>2800</v>
      </c>
      <c r="D202" s="3">
        <v>0</v>
      </c>
      <c r="E202" s="49">
        <v>0</v>
      </c>
      <c r="F202" s="49">
        <v>0</v>
      </c>
      <c r="G202" s="49">
        <v>220</v>
      </c>
      <c r="H202" s="49">
        <f>[7]Sheet1!$R$102</f>
        <v>0</v>
      </c>
      <c r="I202" s="49">
        <v>320</v>
      </c>
      <c r="J202" s="49"/>
      <c r="K202" s="49"/>
      <c r="L202" s="49"/>
      <c r="M202" s="49"/>
      <c r="N202" s="49">
        <f t="shared" si="115"/>
        <v>3340</v>
      </c>
      <c r="P202" s="49">
        <f t="shared" si="107"/>
        <v>303.63636363636363</v>
      </c>
      <c r="Q202" s="49">
        <f t="shared" si="108"/>
        <v>-303.63636363636363</v>
      </c>
    </row>
    <row r="203" spans="1:17" x14ac:dyDescent="0.25">
      <c r="A203" s="105" t="s">
        <v>161</v>
      </c>
      <c r="B203" s="49">
        <v>0</v>
      </c>
      <c r="C203" s="49">
        <v>0</v>
      </c>
      <c r="D203" s="3">
        <v>0</v>
      </c>
      <c r="E203" s="49">
        <v>309.48</v>
      </c>
      <c r="F203" s="49">
        <v>0</v>
      </c>
      <c r="G203" s="49">
        <v>0</v>
      </c>
      <c r="H203" s="49">
        <f>[7]Sheet1!$R$103</f>
        <v>1732.26</v>
      </c>
      <c r="I203" s="49">
        <v>0</v>
      </c>
      <c r="J203" s="49"/>
      <c r="K203" s="49"/>
      <c r="L203" s="49"/>
      <c r="M203" s="49"/>
      <c r="N203" s="49">
        <f t="shared" si="115"/>
        <v>2041.74</v>
      </c>
      <c r="P203" s="49">
        <f t="shared" si="107"/>
        <v>185.61272727272728</v>
      </c>
      <c r="Q203" s="49">
        <f t="shared" si="108"/>
        <v>-185.61272727272728</v>
      </c>
    </row>
    <row r="204" spans="1:17" ht="15.75" thickBot="1" x14ac:dyDescent="0.3">
      <c r="A204" s="113" t="s">
        <v>162</v>
      </c>
      <c r="B204" s="34">
        <f t="shared" ref="B204:I204" si="116">SUM(B193:B203)</f>
        <v>405193.11</v>
      </c>
      <c r="C204" s="34">
        <f t="shared" si="116"/>
        <v>341937.99000000005</v>
      </c>
      <c r="D204" s="34">
        <f t="shared" si="116"/>
        <v>343625.55</v>
      </c>
      <c r="E204" s="34">
        <f t="shared" si="116"/>
        <v>353871.56</v>
      </c>
      <c r="F204" s="34">
        <f t="shared" si="116"/>
        <v>420339.36000000004</v>
      </c>
      <c r="G204" s="34">
        <f t="shared" si="116"/>
        <v>403802.07</v>
      </c>
      <c r="H204" s="34">
        <f>SUM(H193:H203)</f>
        <v>404965.73</v>
      </c>
      <c r="I204" s="34">
        <f t="shared" si="116"/>
        <v>398996.33</v>
      </c>
      <c r="J204" s="34">
        <f t="shared" ref="J204:M204" si="117">SUM(J193:J201)</f>
        <v>0</v>
      </c>
      <c r="K204" s="34">
        <f t="shared" si="117"/>
        <v>0</v>
      </c>
      <c r="L204" s="34">
        <f t="shared" si="117"/>
        <v>0</v>
      </c>
      <c r="M204" s="34">
        <f t="shared" si="117"/>
        <v>0</v>
      </c>
      <c r="N204" s="34">
        <f>SUM(N193:T203)</f>
        <v>3072731.6999999997</v>
      </c>
      <c r="P204" s="34">
        <f t="shared" si="107"/>
        <v>279339.24545454542</v>
      </c>
      <c r="Q204" s="34">
        <f t="shared" si="108"/>
        <v>-279339.24545454542</v>
      </c>
    </row>
    <row r="205" spans="1:17" ht="15.75" thickTop="1" x14ac:dyDescent="0.25"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P205" s="49">
        <f t="shared" si="107"/>
        <v>0</v>
      </c>
      <c r="Q205" s="49">
        <f t="shared" si="108"/>
        <v>0</v>
      </c>
    </row>
    <row r="206" spans="1:17" x14ac:dyDescent="0.25">
      <c r="A206" s="105" t="s">
        <v>163</v>
      </c>
      <c r="B206" s="49">
        <v>0</v>
      </c>
      <c r="C206" s="49">
        <v>0</v>
      </c>
      <c r="D206" s="49">
        <v>0</v>
      </c>
      <c r="E206" s="49">
        <v>0</v>
      </c>
      <c r="F206" s="49">
        <v>0</v>
      </c>
      <c r="G206" s="49">
        <v>0</v>
      </c>
      <c r="H206" s="49"/>
      <c r="I206" s="49"/>
      <c r="J206" s="49"/>
      <c r="K206" s="49"/>
      <c r="L206" s="49"/>
      <c r="M206" s="49"/>
      <c r="N206" s="49">
        <f t="shared" ref="N206:N222" si="118">SUM(B206:M206)</f>
        <v>0</v>
      </c>
      <c r="P206" s="49"/>
      <c r="Q206" s="49"/>
    </row>
    <row r="207" spans="1:17" x14ac:dyDescent="0.25">
      <c r="A207" s="105" t="s">
        <v>164</v>
      </c>
      <c r="B207" s="49">
        <v>34200</v>
      </c>
      <c r="C207" s="49">
        <v>34200</v>
      </c>
      <c r="D207" s="3">
        <v>34200</v>
      </c>
      <c r="E207" s="49">
        <v>34200</v>
      </c>
      <c r="F207" s="49">
        <v>34200</v>
      </c>
      <c r="G207" s="49">
        <v>34200</v>
      </c>
      <c r="H207" s="49">
        <v>34200</v>
      </c>
      <c r="I207" s="49">
        <v>34200</v>
      </c>
      <c r="J207" s="49"/>
      <c r="K207" s="49"/>
      <c r="L207" s="49"/>
      <c r="M207" s="49"/>
      <c r="N207" s="49">
        <f t="shared" si="118"/>
        <v>273600</v>
      </c>
      <c r="P207" s="49">
        <f t="shared" ref="P207:P259" si="119">(N207-M207)/11</f>
        <v>24872.727272727272</v>
      </c>
      <c r="Q207" s="49">
        <f t="shared" ref="Q207:Q259" si="120">M207-P207</f>
        <v>-24872.727272727272</v>
      </c>
    </row>
    <row r="208" spans="1:17" x14ac:dyDescent="0.25">
      <c r="A208" s="105" t="s">
        <v>165</v>
      </c>
      <c r="B208" s="49">
        <v>8503.81</v>
      </c>
      <c r="C208" s="49">
        <v>5315.92</v>
      </c>
      <c r="D208" s="3">
        <v>5721.77</v>
      </c>
      <c r="E208" s="49">
        <v>1979.68</v>
      </c>
      <c r="F208" s="49">
        <v>-5668.03</v>
      </c>
      <c r="G208" s="49">
        <v>-5550.91</v>
      </c>
      <c r="H208" s="49">
        <v>-5623.92</v>
      </c>
      <c r="I208" s="49">
        <v>-2125.3000000000002</v>
      </c>
      <c r="J208" s="49"/>
      <c r="K208" s="49"/>
      <c r="L208" s="49"/>
      <c r="M208" s="49"/>
      <c r="N208" s="49">
        <f t="shared" si="118"/>
        <v>2553.0200000000013</v>
      </c>
      <c r="P208" s="49">
        <f t="shared" si="119"/>
        <v>232.09272727272739</v>
      </c>
      <c r="Q208" s="49">
        <f t="shared" si="120"/>
        <v>-232.09272727272739</v>
      </c>
    </row>
    <row r="209" spans="1:17" x14ac:dyDescent="0.25">
      <c r="A209" s="105" t="s">
        <v>166</v>
      </c>
      <c r="B209" s="49">
        <v>812.13</v>
      </c>
      <c r="C209" s="49">
        <v>2889.41</v>
      </c>
      <c r="D209" s="3">
        <v>2880.16</v>
      </c>
      <c r="E209" s="49">
        <v>1338.1</v>
      </c>
      <c r="F209" s="49">
        <v>587.38</v>
      </c>
      <c r="G209" s="49">
        <v>168.44</v>
      </c>
      <c r="H209" s="49">
        <v>38.119999999999997</v>
      </c>
      <c r="I209" s="49">
        <v>39.21</v>
      </c>
      <c r="J209" s="49"/>
      <c r="K209" s="49"/>
      <c r="L209" s="49"/>
      <c r="M209" s="49"/>
      <c r="N209" s="49">
        <f t="shared" si="118"/>
        <v>8752.9499999999989</v>
      </c>
      <c r="P209" s="49">
        <f t="shared" si="119"/>
        <v>795.72272727272718</v>
      </c>
      <c r="Q209" s="49">
        <f t="shared" si="120"/>
        <v>-795.72272727272718</v>
      </c>
    </row>
    <row r="210" spans="1:17" x14ac:dyDescent="0.25">
      <c r="A210" s="105" t="s">
        <v>167</v>
      </c>
      <c r="B210" s="49">
        <v>0</v>
      </c>
      <c r="C210" s="49">
        <v>0</v>
      </c>
      <c r="D210" s="3">
        <v>0</v>
      </c>
      <c r="E210" s="49">
        <v>0</v>
      </c>
      <c r="F210" s="49">
        <v>579.03</v>
      </c>
      <c r="G210" s="49">
        <v>0</v>
      </c>
      <c r="H210" s="49">
        <v>0</v>
      </c>
      <c r="I210" s="49">
        <v>0</v>
      </c>
      <c r="J210" s="49"/>
      <c r="K210" s="49"/>
      <c r="L210" s="49"/>
      <c r="M210" s="49"/>
      <c r="N210" s="49">
        <f t="shared" si="118"/>
        <v>579.03</v>
      </c>
      <c r="P210" s="49">
        <f t="shared" si="119"/>
        <v>52.639090909090903</v>
      </c>
      <c r="Q210" s="49">
        <f t="shared" si="120"/>
        <v>-52.639090909090903</v>
      </c>
    </row>
    <row r="211" spans="1:17" x14ac:dyDescent="0.25">
      <c r="A211" s="46" t="s">
        <v>459</v>
      </c>
      <c r="B211" s="49">
        <v>6595</v>
      </c>
      <c r="C211" s="49">
        <v>2825</v>
      </c>
      <c r="D211" s="3">
        <v>4805</v>
      </c>
      <c r="E211" s="49">
        <v>0</v>
      </c>
      <c r="F211" s="49">
        <v>0</v>
      </c>
      <c r="G211" s="49">
        <v>0</v>
      </c>
      <c r="H211" s="49">
        <v>5490</v>
      </c>
      <c r="I211" s="49">
        <v>0</v>
      </c>
      <c r="J211" s="49"/>
      <c r="K211" s="49"/>
      <c r="L211" s="49"/>
      <c r="M211" s="49"/>
      <c r="N211" s="49">
        <f t="shared" si="118"/>
        <v>19715</v>
      </c>
      <c r="P211" s="49">
        <f t="shared" si="119"/>
        <v>1792.2727272727273</v>
      </c>
      <c r="Q211" s="49">
        <f t="shared" si="120"/>
        <v>-1792.2727272727273</v>
      </c>
    </row>
    <row r="212" spans="1:17" x14ac:dyDescent="0.25">
      <c r="A212" s="105" t="s">
        <v>168</v>
      </c>
      <c r="B212" s="49">
        <v>11843.29</v>
      </c>
      <c r="C212" s="49">
        <v>5450.87</v>
      </c>
      <c r="D212" s="3">
        <v>12040.98</v>
      </c>
      <c r="E212" s="49">
        <v>8053.61</v>
      </c>
      <c r="F212" s="49">
        <v>16912.45</v>
      </c>
      <c r="G212" s="49">
        <v>6944.38</v>
      </c>
      <c r="H212" s="49">
        <v>13400.41</v>
      </c>
      <c r="I212" s="49">
        <v>5581.37</v>
      </c>
      <c r="J212" s="49"/>
      <c r="K212" s="49"/>
      <c r="L212" s="49"/>
      <c r="M212" s="49"/>
      <c r="N212" s="49">
        <f t="shared" si="118"/>
        <v>80227.359999999986</v>
      </c>
      <c r="P212" s="49">
        <f t="shared" si="119"/>
        <v>7293.3963636363624</v>
      </c>
      <c r="Q212" s="49">
        <f t="shared" si="120"/>
        <v>-7293.3963636363624</v>
      </c>
    </row>
    <row r="213" spans="1:17" x14ac:dyDescent="0.25">
      <c r="A213" s="105" t="s">
        <v>169</v>
      </c>
      <c r="B213" s="49">
        <v>8676.52</v>
      </c>
      <c r="C213" s="49">
        <v>8676.52</v>
      </c>
      <c r="D213" s="3">
        <v>8676.51</v>
      </c>
      <c r="E213" s="49">
        <v>8676.52</v>
      </c>
      <c r="F213" s="49">
        <v>8676.52</v>
      </c>
      <c r="G213" s="49">
        <v>8676.51</v>
      </c>
      <c r="H213" s="49">
        <v>9179.7000000000007</v>
      </c>
      <c r="I213" s="49">
        <v>9179.7000000000007</v>
      </c>
      <c r="J213" s="49"/>
      <c r="K213" s="49"/>
      <c r="L213" s="49"/>
      <c r="M213" s="49"/>
      <c r="N213" s="49">
        <f t="shared" si="118"/>
        <v>70418.500000000015</v>
      </c>
      <c r="P213" s="49">
        <f t="shared" si="119"/>
        <v>6401.6818181818198</v>
      </c>
      <c r="Q213" s="49">
        <f t="shared" si="120"/>
        <v>-6401.6818181818198</v>
      </c>
    </row>
    <row r="214" spans="1:17" x14ac:dyDescent="0.25">
      <c r="A214" s="105" t="s">
        <v>170</v>
      </c>
      <c r="B214" s="49">
        <v>3100</v>
      </c>
      <c r="C214" s="49">
        <v>3100</v>
      </c>
      <c r="D214" s="3">
        <v>3100</v>
      </c>
      <c r="E214" s="49">
        <v>3100</v>
      </c>
      <c r="F214" s="49">
        <v>3100</v>
      </c>
      <c r="G214" s="49">
        <v>4500</v>
      </c>
      <c r="H214" s="49">
        <v>4366.8900000000003</v>
      </c>
      <c r="I214" s="49">
        <v>4633.1099999999997</v>
      </c>
      <c r="J214" s="49"/>
      <c r="K214" s="49"/>
      <c r="L214" s="49"/>
      <c r="M214" s="49"/>
      <c r="N214" s="49">
        <f t="shared" si="118"/>
        <v>29000</v>
      </c>
      <c r="P214" s="49">
        <f t="shared" si="119"/>
        <v>2636.3636363636365</v>
      </c>
      <c r="Q214" s="49">
        <f t="shared" si="120"/>
        <v>-2636.3636363636365</v>
      </c>
    </row>
    <row r="215" spans="1:17" x14ac:dyDescent="0.25">
      <c r="A215" s="105" t="s">
        <v>171</v>
      </c>
      <c r="B215" s="49">
        <v>5157.18</v>
      </c>
      <c r="C215" s="49">
        <v>5157.18</v>
      </c>
      <c r="D215" s="3">
        <v>5023.41</v>
      </c>
      <c r="E215" s="49">
        <v>5123.42</v>
      </c>
      <c r="F215" s="49">
        <v>5023.42</v>
      </c>
      <c r="G215" s="49">
        <v>5023.42</v>
      </c>
      <c r="H215" s="49">
        <v>5023.42</v>
      </c>
      <c r="I215" s="49">
        <v>5023.42</v>
      </c>
      <c r="J215" s="49"/>
      <c r="K215" s="49"/>
      <c r="L215" s="49"/>
      <c r="M215" s="49"/>
      <c r="N215" s="49">
        <f t="shared" si="118"/>
        <v>40554.869999999995</v>
      </c>
      <c r="P215" s="49">
        <f t="shared" si="119"/>
        <v>3686.8063636363631</v>
      </c>
      <c r="Q215" s="49">
        <f t="shared" si="120"/>
        <v>-3686.8063636363631</v>
      </c>
    </row>
    <row r="216" spans="1:17" x14ac:dyDescent="0.25">
      <c r="A216" s="105" t="s">
        <v>172</v>
      </c>
      <c r="B216" s="49">
        <v>781.02</v>
      </c>
      <c r="C216" s="49">
        <v>3798.75</v>
      </c>
      <c r="D216" s="3">
        <v>1347.95</v>
      </c>
      <c r="E216" s="49">
        <v>606.57000000000005</v>
      </c>
      <c r="F216" s="49">
        <v>716.17</v>
      </c>
      <c r="G216" s="49">
        <v>506.25</v>
      </c>
      <c r="H216" s="49">
        <v>0</v>
      </c>
      <c r="I216" s="49">
        <v>118.99</v>
      </c>
      <c r="J216" s="49"/>
      <c r="K216" s="49"/>
      <c r="L216" s="49"/>
      <c r="M216" s="49"/>
      <c r="N216" s="49">
        <f t="shared" si="118"/>
        <v>7875.7</v>
      </c>
      <c r="O216" s="49"/>
      <c r="P216" s="49">
        <f t="shared" si="119"/>
        <v>715.9727272727273</v>
      </c>
      <c r="Q216" s="49">
        <f t="shared" si="120"/>
        <v>-715.9727272727273</v>
      </c>
    </row>
    <row r="217" spans="1:17" x14ac:dyDescent="0.25">
      <c r="A217" s="105" t="s">
        <v>173</v>
      </c>
      <c r="B217" s="49">
        <v>740.6</v>
      </c>
      <c r="C217" s="49">
        <v>321.60000000000002</v>
      </c>
      <c r="D217" s="3">
        <v>321.60000000000002</v>
      </c>
      <c r="E217" s="49">
        <v>419.18</v>
      </c>
      <c r="F217" s="49">
        <v>439.52</v>
      </c>
      <c r="G217" s="49">
        <v>321.60000000000002</v>
      </c>
      <c r="H217" s="49">
        <v>1372.85</v>
      </c>
      <c r="I217" s="49">
        <v>2251.7800000000002</v>
      </c>
      <c r="J217" s="49"/>
      <c r="K217" s="49"/>
      <c r="L217" s="49"/>
      <c r="M217" s="49"/>
      <c r="N217" s="49">
        <f t="shared" si="118"/>
        <v>6188.73</v>
      </c>
      <c r="P217" s="49">
        <f t="shared" si="119"/>
        <v>562.61181818181819</v>
      </c>
      <c r="Q217" s="49">
        <f t="shared" si="120"/>
        <v>-562.61181818181819</v>
      </c>
    </row>
    <row r="218" spans="1:17" x14ac:dyDescent="0.25">
      <c r="A218" s="105" t="s">
        <v>174</v>
      </c>
      <c r="B218" s="49">
        <v>333.33</v>
      </c>
      <c r="C218" s="49">
        <v>333.33</v>
      </c>
      <c r="D218" s="3">
        <v>333.33</v>
      </c>
      <c r="E218" s="49">
        <v>333.33</v>
      </c>
      <c r="F218" s="49">
        <v>333.33</v>
      </c>
      <c r="G218" s="49">
        <v>333.33</v>
      </c>
      <c r="H218" s="49">
        <v>333.33</v>
      </c>
      <c r="I218" s="49">
        <v>333.33</v>
      </c>
      <c r="J218" s="49"/>
      <c r="K218" s="49"/>
      <c r="L218" s="49"/>
      <c r="M218" s="49"/>
      <c r="N218" s="49">
        <f t="shared" si="118"/>
        <v>2666.64</v>
      </c>
      <c r="P218" s="49">
        <f t="shared" si="119"/>
        <v>242.42181818181817</v>
      </c>
      <c r="Q218" s="49">
        <f t="shared" si="120"/>
        <v>-242.42181818181817</v>
      </c>
    </row>
    <row r="219" spans="1:17" x14ac:dyDescent="0.25">
      <c r="A219" s="105" t="s">
        <v>175</v>
      </c>
      <c r="B219" s="49">
        <v>115897.3</v>
      </c>
      <c r="C219" s="49">
        <v>117313.31</v>
      </c>
      <c r="D219" s="3">
        <v>117313.31</v>
      </c>
      <c r="E219" s="49">
        <v>69868.929999999993</v>
      </c>
      <c r="F219" s="49">
        <v>62865.39</v>
      </c>
      <c r="G219" s="49">
        <v>89768.53</v>
      </c>
      <c r="H219" s="49">
        <v>67753.13</v>
      </c>
      <c r="I219" s="49">
        <v>67298.850000000006</v>
      </c>
      <c r="J219" s="49"/>
      <c r="K219" s="49"/>
      <c r="L219" s="49"/>
      <c r="M219" s="49"/>
      <c r="N219" s="49">
        <f t="shared" si="118"/>
        <v>708078.75</v>
      </c>
      <c r="P219" s="49">
        <f t="shared" si="119"/>
        <v>64370.795454545456</v>
      </c>
      <c r="Q219" s="49">
        <f t="shared" si="120"/>
        <v>-64370.795454545456</v>
      </c>
    </row>
    <row r="220" spans="1:17" x14ac:dyDescent="0.25">
      <c r="A220" s="105" t="s">
        <v>176</v>
      </c>
      <c r="B220" s="49">
        <v>0</v>
      </c>
      <c r="C220" s="49">
        <v>0</v>
      </c>
      <c r="D220" s="3">
        <v>0</v>
      </c>
      <c r="E220" s="49">
        <v>1820.4</v>
      </c>
      <c r="F220" s="49">
        <v>0</v>
      </c>
      <c r="G220" s="49">
        <v>5256.73</v>
      </c>
      <c r="H220" s="49">
        <v>3721.9</v>
      </c>
      <c r="I220" s="49">
        <v>1441.3</v>
      </c>
      <c r="J220" s="49"/>
      <c r="K220" s="49"/>
      <c r="L220" s="49"/>
      <c r="M220" s="49"/>
      <c r="N220" s="49">
        <f t="shared" si="118"/>
        <v>12240.329999999998</v>
      </c>
      <c r="P220" s="49">
        <f t="shared" si="119"/>
        <v>1112.7572727272725</v>
      </c>
      <c r="Q220" s="49">
        <f t="shared" si="120"/>
        <v>-1112.7572727272725</v>
      </c>
    </row>
    <row r="221" spans="1:17" x14ac:dyDescent="0.25">
      <c r="A221" s="105" t="s">
        <v>177</v>
      </c>
      <c r="B221" s="49">
        <v>0</v>
      </c>
      <c r="C221" s="49">
        <v>0</v>
      </c>
      <c r="D221" s="3">
        <v>0</v>
      </c>
      <c r="E221" s="49">
        <v>390</v>
      </c>
      <c r="F221" s="49">
        <v>390</v>
      </c>
      <c r="G221" s="49">
        <v>390</v>
      </c>
      <c r="H221" s="49">
        <v>390</v>
      </c>
      <c r="I221" s="49">
        <v>390</v>
      </c>
      <c r="J221" s="49"/>
      <c r="K221" s="49"/>
      <c r="L221" s="49"/>
      <c r="M221" s="49"/>
      <c r="N221" s="49">
        <f t="shared" si="118"/>
        <v>1950</v>
      </c>
      <c r="P221" s="49">
        <f t="shared" si="119"/>
        <v>177.27272727272728</v>
      </c>
      <c r="Q221" s="49">
        <f t="shared" si="120"/>
        <v>-177.27272727272728</v>
      </c>
    </row>
    <row r="222" spans="1:17" x14ac:dyDescent="0.25">
      <c r="A222" s="105" t="s">
        <v>398</v>
      </c>
      <c r="B222" s="49">
        <v>0</v>
      </c>
      <c r="C222" s="49">
        <v>0</v>
      </c>
      <c r="D222" s="3">
        <v>0</v>
      </c>
      <c r="E222" s="49">
        <v>51803</v>
      </c>
      <c r="F222" s="49">
        <v>58244.6</v>
      </c>
      <c r="G222" s="49">
        <v>55745.919999999998</v>
      </c>
      <c r="H222" s="49">
        <v>74963</v>
      </c>
      <c r="I222" s="49">
        <v>57878.13</v>
      </c>
      <c r="J222" s="49"/>
      <c r="K222" s="49"/>
      <c r="L222" s="49"/>
      <c r="M222" s="49"/>
      <c r="N222" s="49">
        <f t="shared" si="118"/>
        <v>298634.65000000002</v>
      </c>
      <c r="P222" s="49"/>
      <c r="Q222" s="49"/>
    </row>
    <row r="223" spans="1:17" ht="15.75" thickBot="1" x14ac:dyDescent="0.3">
      <c r="A223" s="113" t="s">
        <v>178</v>
      </c>
      <c r="B223" s="34">
        <f t="shared" ref="B223:F223" si="121">SUM(B207:B222)</f>
        <v>196640.18</v>
      </c>
      <c r="C223" s="34">
        <f t="shared" si="121"/>
        <v>189381.89</v>
      </c>
      <c r="D223" s="34">
        <f t="shared" si="121"/>
        <v>195764.02000000002</v>
      </c>
      <c r="E223" s="34">
        <f t="shared" si="121"/>
        <v>187712.74</v>
      </c>
      <c r="F223" s="34">
        <f t="shared" si="121"/>
        <v>186399.78</v>
      </c>
      <c r="G223" s="34">
        <f>SUM(G207:G222)</f>
        <v>206284.2</v>
      </c>
      <c r="H223" s="34">
        <f>SUM(H207:H222)</f>
        <v>214608.83</v>
      </c>
      <c r="I223" s="34">
        <f>SUM(I207:M222)</f>
        <v>186243.88999999998</v>
      </c>
      <c r="J223" s="34">
        <f t="shared" ref="J223:M223" si="122">SUM(J207:J219)</f>
        <v>0</v>
      </c>
      <c r="K223" s="34">
        <f t="shared" si="122"/>
        <v>0</v>
      </c>
      <c r="L223" s="34">
        <f t="shared" si="122"/>
        <v>0</v>
      </c>
      <c r="M223" s="34">
        <f t="shared" si="122"/>
        <v>0</v>
      </c>
      <c r="N223" s="34">
        <f>SUM(N207:N222)</f>
        <v>1563035.5299999998</v>
      </c>
      <c r="P223" s="34">
        <f t="shared" si="119"/>
        <v>142094.13909090907</v>
      </c>
      <c r="Q223" s="34">
        <f t="shared" si="120"/>
        <v>-142094.13909090907</v>
      </c>
    </row>
    <row r="224" spans="1:17" ht="15.75" thickTop="1" x14ac:dyDescent="0.25"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P224" s="49">
        <f t="shared" si="119"/>
        <v>0</v>
      </c>
      <c r="Q224" s="49">
        <f t="shared" si="120"/>
        <v>0</v>
      </c>
    </row>
    <row r="225" spans="1:17" x14ac:dyDescent="0.25">
      <c r="A225" s="105" t="s">
        <v>179</v>
      </c>
      <c r="B225" s="49">
        <v>0</v>
      </c>
      <c r="C225" s="49">
        <v>0</v>
      </c>
      <c r="D225" s="49">
        <v>0</v>
      </c>
      <c r="E225" s="49"/>
      <c r="F225" s="49">
        <v>0</v>
      </c>
      <c r="G225" s="49">
        <v>2500</v>
      </c>
      <c r="H225" s="49">
        <v>2000</v>
      </c>
      <c r="I225" s="49">
        <v>0</v>
      </c>
      <c r="J225" s="49"/>
      <c r="K225" s="49"/>
      <c r="L225" s="49"/>
      <c r="M225" s="49"/>
      <c r="N225" s="49">
        <f t="shared" ref="N225:N253" si="123">SUM(B225:M225)</f>
        <v>4500</v>
      </c>
      <c r="P225" s="49">
        <f t="shared" si="119"/>
        <v>409.09090909090907</v>
      </c>
      <c r="Q225" s="49">
        <f t="shared" si="120"/>
        <v>-409.09090909090907</v>
      </c>
    </row>
    <row r="226" spans="1:17" x14ac:dyDescent="0.25">
      <c r="A226" s="105" t="s">
        <v>180</v>
      </c>
      <c r="B226" s="49">
        <v>5835.67</v>
      </c>
      <c r="C226" s="49">
        <v>5000</v>
      </c>
      <c r="D226" s="3">
        <v>4813.05</v>
      </c>
      <c r="E226" s="49">
        <v>5000</v>
      </c>
      <c r="F226" s="49">
        <v>5000</v>
      </c>
      <c r="G226" s="49">
        <v>5000</v>
      </c>
      <c r="H226" s="49">
        <v>5000</v>
      </c>
      <c r="I226" s="49">
        <v>5000</v>
      </c>
      <c r="J226" s="49"/>
      <c r="K226" s="49"/>
      <c r="L226" s="49"/>
      <c r="M226" s="49"/>
      <c r="N226" s="49">
        <f t="shared" si="123"/>
        <v>40648.720000000001</v>
      </c>
      <c r="P226" s="49">
        <f t="shared" si="119"/>
        <v>3695.338181818182</v>
      </c>
      <c r="Q226" s="49">
        <f t="shared" si="120"/>
        <v>-3695.338181818182</v>
      </c>
    </row>
    <row r="227" spans="1:17" x14ac:dyDescent="0.25">
      <c r="A227" s="105" t="s">
        <v>181</v>
      </c>
      <c r="B227" s="49">
        <v>815.83</v>
      </c>
      <c r="C227" s="49">
        <v>1293.81</v>
      </c>
      <c r="D227" s="3">
        <v>863.73</v>
      </c>
      <c r="E227" s="49">
        <v>836.51</v>
      </c>
      <c r="F227" s="49">
        <v>838.95</v>
      </c>
      <c r="G227" s="49">
        <v>838.95</v>
      </c>
      <c r="H227" s="49">
        <v>822.29</v>
      </c>
      <c r="I227" s="49">
        <v>935.47</v>
      </c>
      <c r="J227" s="49"/>
      <c r="K227" s="49"/>
      <c r="L227" s="49"/>
      <c r="M227" s="49"/>
      <c r="N227" s="49">
        <f t="shared" si="123"/>
        <v>7245.54</v>
      </c>
      <c r="P227" s="49">
        <f t="shared" si="119"/>
        <v>658.68545454545449</v>
      </c>
      <c r="Q227" s="49">
        <f t="shared" si="120"/>
        <v>-658.68545454545449</v>
      </c>
    </row>
    <row r="228" spans="1:17" x14ac:dyDescent="0.25">
      <c r="A228" s="105" t="s">
        <v>182</v>
      </c>
      <c r="B228" s="49">
        <v>11891.59</v>
      </c>
      <c r="C228" s="49">
        <v>11089.07</v>
      </c>
      <c r="D228" s="3">
        <v>11189.22</v>
      </c>
      <c r="E228" s="49">
        <v>11179.32</v>
      </c>
      <c r="F228" s="49">
        <v>10355.59</v>
      </c>
      <c r="G228" s="49">
        <v>2547</v>
      </c>
      <c r="H228" s="49">
        <v>10193.629999999999</v>
      </c>
      <c r="I228" s="49">
        <v>11578.59</v>
      </c>
      <c r="J228" s="49"/>
      <c r="K228" s="49"/>
      <c r="L228" s="49"/>
      <c r="M228" s="49"/>
      <c r="N228" s="49">
        <f t="shared" si="123"/>
        <v>80024.009999999995</v>
      </c>
      <c r="P228" s="49">
        <f t="shared" si="119"/>
        <v>7274.91</v>
      </c>
      <c r="Q228" s="49">
        <f t="shared" si="120"/>
        <v>-7274.91</v>
      </c>
    </row>
    <row r="229" spans="1:17" x14ac:dyDescent="0.25">
      <c r="A229" s="105" t="s">
        <v>183</v>
      </c>
      <c r="B229" s="49">
        <v>0</v>
      </c>
      <c r="C229" s="49">
        <v>0</v>
      </c>
      <c r="D229" s="3">
        <v>0</v>
      </c>
      <c r="E229" s="49">
        <v>0</v>
      </c>
      <c r="F229" s="49">
        <v>0</v>
      </c>
      <c r="G229" s="49">
        <v>0</v>
      </c>
      <c r="H229" s="49">
        <v>0</v>
      </c>
      <c r="I229" s="49">
        <v>0</v>
      </c>
      <c r="J229" s="49"/>
      <c r="K229" s="49"/>
      <c r="L229" s="49"/>
      <c r="M229" s="49"/>
      <c r="N229" s="49">
        <f t="shared" si="123"/>
        <v>0</v>
      </c>
      <c r="P229" s="49">
        <f t="shared" si="119"/>
        <v>0</v>
      </c>
      <c r="Q229" s="49">
        <f t="shared" si="120"/>
        <v>0</v>
      </c>
    </row>
    <row r="230" spans="1:17" x14ac:dyDescent="0.25">
      <c r="A230" s="105" t="s">
        <v>184</v>
      </c>
      <c r="B230" s="49">
        <v>2200</v>
      </c>
      <c r="C230" s="49">
        <v>545.54</v>
      </c>
      <c r="D230" s="3">
        <v>774.24</v>
      </c>
      <c r="E230" s="49">
        <v>36.65</v>
      </c>
      <c r="F230" s="49">
        <v>22.4</v>
      </c>
      <c r="G230" s="49">
        <v>149.9</v>
      </c>
      <c r="H230" s="49">
        <v>27.1</v>
      </c>
      <c r="I230" s="49">
        <v>53.2</v>
      </c>
      <c r="J230" s="49"/>
      <c r="K230" s="49"/>
      <c r="L230" s="49"/>
      <c r="M230" s="49"/>
      <c r="N230" s="49">
        <f t="shared" si="123"/>
        <v>3809.0299999999997</v>
      </c>
      <c r="P230" s="49">
        <f t="shared" si="119"/>
        <v>346.27545454545452</v>
      </c>
      <c r="Q230" s="49">
        <f t="shared" si="120"/>
        <v>-346.27545454545452</v>
      </c>
    </row>
    <row r="231" spans="1:17" x14ac:dyDescent="0.25">
      <c r="A231" s="105" t="s">
        <v>185</v>
      </c>
      <c r="B231" s="49">
        <v>0</v>
      </c>
      <c r="C231" s="49">
        <v>0</v>
      </c>
      <c r="D231" s="3">
        <v>0</v>
      </c>
      <c r="E231" s="49">
        <v>0</v>
      </c>
      <c r="F231" s="49">
        <v>0</v>
      </c>
      <c r="G231" s="49">
        <v>0</v>
      </c>
      <c r="H231" s="49">
        <v>0</v>
      </c>
      <c r="I231" s="49">
        <v>0</v>
      </c>
      <c r="J231" s="49"/>
      <c r="K231" s="49"/>
      <c r="L231" s="49"/>
      <c r="M231" s="49"/>
      <c r="N231" s="49">
        <f t="shared" si="123"/>
        <v>0</v>
      </c>
      <c r="O231" s="49"/>
      <c r="P231" s="49">
        <f t="shared" si="119"/>
        <v>0</v>
      </c>
      <c r="Q231" s="49">
        <f t="shared" si="120"/>
        <v>0</v>
      </c>
    </row>
    <row r="232" spans="1:17" x14ac:dyDescent="0.25">
      <c r="A232" s="105" t="s">
        <v>186</v>
      </c>
      <c r="B232" s="49">
        <v>0</v>
      </c>
      <c r="C232" s="49">
        <v>0</v>
      </c>
      <c r="D232" s="3">
        <v>0</v>
      </c>
      <c r="E232" s="49">
        <v>0</v>
      </c>
      <c r="F232" s="49">
        <v>0</v>
      </c>
      <c r="G232" s="49">
        <v>0</v>
      </c>
      <c r="H232" s="49">
        <v>0</v>
      </c>
      <c r="I232" s="49">
        <v>0</v>
      </c>
      <c r="J232" s="49"/>
      <c r="K232" s="49"/>
      <c r="L232" s="49"/>
      <c r="M232" s="49"/>
      <c r="N232" s="49">
        <f t="shared" si="123"/>
        <v>0</v>
      </c>
      <c r="P232" s="49">
        <f t="shared" si="119"/>
        <v>0</v>
      </c>
      <c r="Q232" s="49">
        <f t="shared" si="120"/>
        <v>0</v>
      </c>
    </row>
    <row r="233" spans="1:17" x14ac:dyDescent="0.25">
      <c r="A233" s="105" t="s">
        <v>187</v>
      </c>
      <c r="B233" s="49">
        <v>0</v>
      </c>
      <c r="C233" s="49">
        <v>0</v>
      </c>
      <c r="D233" s="3">
        <v>0</v>
      </c>
      <c r="E233" s="49">
        <v>0</v>
      </c>
      <c r="F233" s="49">
        <v>0</v>
      </c>
      <c r="G233" s="49">
        <v>0</v>
      </c>
      <c r="H233" s="49">
        <v>0</v>
      </c>
      <c r="I233" s="49">
        <v>0</v>
      </c>
      <c r="J233" s="49"/>
      <c r="K233" s="49"/>
      <c r="L233" s="49"/>
      <c r="M233" s="49"/>
      <c r="N233" s="49">
        <f t="shared" si="123"/>
        <v>0</v>
      </c>
      <c r="P233" s="49">
        <f t="shared" si="119"/>
        <v>0</v>
      </c>
      <c r="Q233" s="49">
        <f t="shared" si="120"/>
        <v>0</v>
      </c>
    </row>
    <row r="234" spans="1:17" x14ac:dyDescent="0.25">
      <c r="A234" s="105" t="s">
        <v>188</v>
      </c>
      <c r="B234" s="49">
        <v>0</v>
      </c>
      <c r="C234" s="49">
        <v>0</v>
      </c>
      <c r="D234" s="3">
        <v>0</v>
      </c>
      <c r="E234" s="49">
        <v>3888.88</v>
      </c>
      <c r="F234" s="49">
        <v>3888.88</v>
      </c>
      <c r="G234" s="49">
        <v>13152.25</v>
      </c>
      <c r="H234" s="49">
        <v>10269.51</v>
      </c>
      <c r="I234" s="49">
        <v>3908.87</v>
      </c>
      <c r="J234" s="49"/>
      <c r="K234" s="49"/>
      <c r="L234" s="49"/>
      <c r="M234" s="49"/>
      <c r="N234" s="49">
        <f t="shared" si="123"/>
        <v>35108.390000000007</v>
      </c>
      <c r="P234" s="49">
        <f t="shared" si="119"/>
        <v>3191.6718181818187</v>
      </c>
      <c r="Q234" s="49">
        <f t="shared" si="120"/>
        <v>-3191.6718181818187</v>
      </c>
    </row>
    <row r="235" spans="1:17" x14ac:dyDescent="0.25">
      <c r="A235" s="105" t="s">
        <v>189</v>
      </c>
      <c r="B235" s="49">
        <v>0</v>
      </c>
      <c r="C235" s="49">
        <v>0</v>
      </c>
      <c r="D235" s="3">
        <v>0</v>
      </c>
      <c r="E235" s="49">
        <v>0</v>
      </c>
      <c r="F235" s="49">
        <v>0</v>
      </c>
      <c r="G235" s="49">
        <v>234.03</v>
      </c>
      <c r="H235" s="49">
        <v>0</v>
      </c>
      <c r="I235" s="49">
        <v>56.7</v>
      </c>
      <c r="J235" s="49"/>
      <c r="K235" s="49"/>
      <c r="L235" s="49"/>
      <c r="M235" s="49"/>
      <c r="N235" s="49">
        <f t="shared" si="123"/>
        <v>290.73</v>
      </c>
      <c r="O235" s="49"/>
      <c r="P235" s="49">
        <f t="shared" si="119"/>
        <v>26.430000000000003</v>
      </c>
      <c r="Q235" s="49">
        <f t="shared" si="120"/>
        <v>-26.430000000000003</v>
      </c>
    </row>
    <row r="236" spans="1:17" x14ac:dyDescent="0.25">
      <c r="A236" s="105" t="s">
        <v>190</v>
      </c>
      <c r="B236" s="49">
        <v>-1079.68</v>
      </c>
      <c r="C236" s="49">
        <v>2431.7199999999998</v>
      </c>
      <c r="D236" s="3">
        <v>1397.5</v>
      </c>
      <c r="E236" s="49">
        <f>1455.94+540.08</f>
        <v>1996.02</v>
      </c>
      <c r="F236" s="49">
        <v>4141.2299999999996</v>
      </c>
      <c r="G236" s="49">
        <v>1897.43</v>
      </c>
      <c r="H236" s="49">
        <v>1351.56</v>
      </c>
      <c r="I236" s="49">
        <v>1842.88</v>
      </c>
      <c r="J236" s="49"/>
      <c r="K236" s="49"/>
      <c r="L236" s="49"/>
      <c r="M236" s="49"/>
      <c r="N236" s="49">
        <f t="shared" si="123"/>
        <v>13978.66</v>
      </c>
      <c r="P236" s="49">
        <f t="shared" si="119"/>
        <v>1270.7872727272727</v>
      </c>
      <c r="Q236" s="49">
        <f t="shared" si="120"/>
        <v>-1270.7872727272727</v>
      </c>
    </row>
    <row r="237" spans="1:17" x14ac:dyDescent="0.25">
      <c r="A237" s="105" t="s">
        <v>191</v>
      </c>
      <c r="B237" s="49">
        <v>369.62</v>
      </c>
      <c r="C237" s="49">
        <v>337.5</v>
      </c>
      <c r="D237" s="3">
        <v>0</v>
      </c>
      <c r="E237" s="49">
        <v>269.62</v>
      </c>
      <c r="F237" s="49">
        <v>0</v>
      </c>
      <c r="G237" s="49">
        <v>0</v>
      </c>
      <c r="H237" s="49">
        <v>291.94</v>
      </c>
      <c r="I237" s="49">
        <v>0</v>
      </c>
      <c r="J237" s="49"/>
      <c r="K237" s="49"/>
      <c r="L237" s="49"/>
      <c r="M237" s="49"/>
      <c r="N237" s="49">
        <f t="shared" si="123"/>
        <v>1268.68</v>
      </c>
      <c r="P237" s="49">
        <f t="shared" si="119"/>
        <v>115.33454545454546</v>
      </c>
      <c r="Q237" s="49">
        <f t="shared" si="120"/>
        <v>-115.33454545454546</v>
      </c>
    </row>
    <row r="238" spans="1:17" x14ac:dyDescent="0.25">
      <c r="A238" s="105" t="s">
        <v>192</v>
      </c>
      <c r="B238" s="49">
        <v>5036.3900000000003</v>
      </c>
      <c r="C238" s="49">
        <v>4091.87</v>
      </c>
      <c r="D238" s="3">
        <v>4231.8500000000004</v>
      </c>
      <c r="E238" s="49">
        <v>1960.99</v>
      </c>
      <c r="F238" s="49">
        <v>3137.77</v>
      </c>
      <c r="G238" s="49">
        <v>2373.7600000000002</v>
      </c>
      <c r="H238" s="49">
        <v>2720.77</v>
      </c>
      <c r="I238" s="49">
        <v>2233.6799999999998</v>
      </c>
      <c r="J238" s="49"/>
      <c r="K238" s="49"/>
      <c r="L238" s="49"/>
      <c r="M238" s="49"/>
      <c r="N238" s="49">
        <f t="shared" si="123"/>
        <v>25787.079999999998</v>
      </c>
      <c r="P238" s="49">
        <f t="shared" si="119"/>
        <v>2344.2799999999997</v>
      </c>
      <c r="Q238" s="49">
        <f t="shared" si="120"/>
        <v>-2344.2799999999997</v>
      </c>
    </row>
    <row r="239" spans="1:17" x14ac:dyDescent="0.25">
      <c r="A239" s="105" t="s">
        <v>193</v>
      </c>
      <c r="B239" s="49">
        <v>2582.41</v>
      </c>
      <c r="C239" s="49">
        <v>2701.31</v>
      </c>
      <c r="D239" s="3">
        <v>3298.35</v>
      </c>
      <c r="E239" s="49">
        <v>2350.81</v>
      </c>
      <c r="F239" s="49">
        <v>2499.0500000000002</v>
      </c>
      <c r="G239" s="49">
        <v>3334.89</v>
      </c>
      <c r="H239" s="49">
        <v>2438.75</v>
      </c>
      <c r="I239" s="49">
        <v>2256.88</v>
      </c>
      <c r="J239" s="49"/>
      <c r="K239" s="49"/>
      <c r="L239" s="49"/>
      <c r="M239" s="49"/>
      <c r="N239" s="49">
        <f t="shared" si="123"/>
        <v>21462.45</v>
      </c>
      <c r="P239" s="49">
        <f t="shared" si="119"/>
        <v>1951.1318181818183</v>
      </c>
      <c r="Q239" s="49">
        <f t="shared" si="120"/>
        <v>-1951.1318181818183</v>
      </c>
    </row>
    <row r="240" spans="1:17" x14ac:dyDescent="0.25">
      <c r="A240" s="105" t="s">
        <v>194</v>
      </c>
      <c r="B240" s="49">
        <v>20798</v>
      </c>
      <c r="C240" s="49">
        <v>19135.740000000002</v>
      </c>
      <c r="D240" s="49">
        <v>17216.87</v>
      </c>
      <c r="E240" s="49">
        <v>10016.870000000001</v>
      </c>
      <c r="F240" s="49">
        <v>10016.870000000001</v>
      </c>
      <c r="G240" s="49">
        <v>10168.870000000001</v>
      </c>
      <c r="H240" s="49">
        <v>10016.870000000001</v>
      </c>
      <c r="I240" s="49">
        <v>10267.049999999999</v>
      </c>
      <c r="J240" s="49"/>
      <c r="K240" s="49"/>
      <c r="L240" s="49"/>
      <c r="M240" s="49"/>
      <c r="N240" s="49">
        <f t="shared" si="123"/>
        <v>107637.13999999998</v>
      </c>
      <c r="P240" s="49">
        <f>(N240-M240)/11</f>
        <v>9785.1945454545439</v>
      </c>
      <c r="Q240" s="49">
        <f>M240-P240</f>
        <v>-9785.1945454545439</v>
      </c>
    </row>
    <row r="241" spans="1:17" x14ac:dyDescent="0.25">
      <c r="A241" s="105" t="s">
        <v>195</v>
      </c>
      <c r="B241" s="49">
        <v>3253.33</v>
      </c>
      <c r="C241" s="49">
        <v>2533.33</v>
      </c>
      <c r="D241" s="3">
        <v>2533.33</v>
      </c>
      <c r="E241" s="49">
        <v>2533.33</v>
      </c>
      <c r="F241" s="49">
        <v>2533.33</v>
      </c>
      <c r="G241" s="49">
        <v>2533.33</v>
      </c>
      <c r="H241" s="49">
        <v>2533.33</v>
      </c>
      <c r="I241" s="49">
        <v>2533.33</v>
      </c>
      <c r="J241" s="49"/>
      <c r="K241" s="49"/>
      <c r="L241" s="49"/>
      <c r="M241" s="49"/>
      <c r="N241" s="49">
        <f t="shared" si="123"/>
        <v>20986.639999999999</v>
      </c>
      <c r="P241" s="49">
        <f t="shared" si="119"/>
        <v>1907.8763636363635</v>
      </c>
      <c r="Q241" s="49">
        <f t="shared" si="120"/>
        <v>-1907.8763636363635</v>
      </c>
    </row>
    <row r="242" spans="1:17" x14ac:dyDescent="0.25">
      <c r="A242" s="105" t="s">
        <v>196</v>
      </c>
      <c r="B242" s="49">
        <v>1266.67</v>
      </c>
      <c r="C242" s="49">
        <v>1266.67</v>
      </c>
      <c r="D242" s="3">
        <v>6536.01</v>
      </c>
      <c r="E242" s="49">
        <v>3238.1</v>
      </c>
      <c r="F242" s="49">
        <v>3238.1</v>
      </c>
      <c r="G242" s="49">
        <v>-3590.69</v>
      </c>
      <c r="H242" s="49">
        <v>1535.07</v>
      </c>
      <c r="I242" s="49">
        <v>1266.67</v>
      </c>
      <c r="J242" s="49"/>
      <c r="K242" s="49"/>
      <c r="L242" s="49"/>
      <c r="M242" s="49"/>
      <c r="N242" s="49">
        <f t="shared" si="123"/>
        <v>14756.6</v>
      </c>
      <c r="P242" s="49">
        <f t="shared" si="119"/>
        <v>1341.5090909090909</v>
      </c>
      <c r="Q242" s="49">
        <f t="shared" si="120"/>
        <v>-1341.5090909090909</v>
      </c>
    </row>
    <row r="243" spans="1:17" x14ac:dyDescent="0.25">
      <c r="A243" s="105" t="s">
        <v>197</v>
      </c>
      <c r="B243" s="49">
        <v>428.57</v>
      </c>
      <c r="C243" s="49">
        <v>428.57</v>
      </c>
      <c r="D243" s="3">
        <v>428.57</v>
      </c>
      <c r="E243" s="49">
        <v>428.57</v>
      </c>
      <c r="F243" s="49">
        <v>1580.99</v>
      </c>
      <c r="G243" s="49">
        <v>-895.84</v>
      </c>
      <c r="H243" s="49">
        <v>374.03</v>
      </c>
      <c r="I243" s="49">
        <v>750</v>
      </c>
      <c r="J243" s="49"/>
      <c r="K243" s="49"/>
      <c r="L243" s="49"/>
      <c r="M243" s="49"/>
      <c r="N243" s="49">
        <f t="shared" si="123"/>
        <v>3523.46</v>
      </c>
      <c r="P243" s="49">
        <f t="shared" si="119"/>
        <v>320.31454545454545</v>
      </c>
      <c r="Q243" s="49">
        <f t="shared" si="120"/>
        <v>-320.31454545454545</v>
      </c>
    </row>
    <row r="244" spans="1:17" x14ac:dyDescent="0.25">
      <c r="A244" s="105" t="s">
        <v>198</v>
      </c>
      <c r="B244" s="49">
        <v>2451.4299999999998</v>
      </c>
      <c r="C244" s="49">
        <v>2673.97</v>
      </c>
      <c r="D244" s="3">
        <v>2254.42</v>
      </c>
      <c r="E244" s="49">
        <v>0</v>
      </c>
      <c r="F244" s="49">
        <v>865.5</v>
      </c>
      <c r="G244" s="49">
        <v>3530.1</v>
      </c>
      <c r="H244" s="49">
        <v>2405.85</v>
      </c>
      <c r="I244" s="49">
        <v>2695.65</v>
      </c>
      <c r="J244" s="49"/>
      <c r="K244" s="49"/>
      <c r="L244" s="49"/>
      <c r="M244" s="49"/>
      <c r="N244" s="49">
        <f t="shared" si="123"/>
        <v>16876.920000000002</v>
      </c>
      <c r="P244" s="49">
        <f t="shared" si="119"/>
        <v>1534.2654545454548</v>
      </c>
      <c r="Q244" s="49">
        <f t="shared" si="120"/>
        <v>-1534.2654545454548</v>
      </c>
    </row>
    <row r="245" spans="1:17" x14ac:dyDescent="0.25">
      <c r="A245" s="105" t="s">
        <v>199</v>
      </c>
      <c r="B245" s="49">
        <v>0</v>
      </c>
      <c r="C245" s="49">
        <v>680.88</v>
      </c>
      <c r="D245" s="3">
        <v>4256.26</v>
      </c>
      <c r="E245" s="49">
        <v>998.65</v>
      </c>
      <c r="F245" s="49">
        <v>3059.3</v>
      </c>
      <c r="G245" s="49">
        <v>2520.4299999999998</v>
      </c>
      <c r="H245" s="49">
        <v>3606.37</v>
      </c>
      <c r="I245" s="49">
        <v>7404.71</v>
      </c>
      <c r="J245" s="49"/>
      <c r="K245" s="49"/>
      <c r="L245" s="49"/>
      <c r="M245" s="49"/>
      <c r="N245" s="49">
        <f t="shared" si="123"/>
        <v>22526.6</v>
      </c>
      <c r="P245" s="49">
        <f t="shared" si="119"/>
        <v>2047.8727272727272</v>
      </c>
      <c r="Q245" s="49">
        <f t="shared" si="120"/>
        <v>-2047.8727272727272</v>
      </c>
    </row>
    <row r="246" spans="1:17" x14ac:dyDescent="0.25">
      <c r="A246" s="105" t="s">
        <v>447</v>
      </c>
      <c r="C246" s="49"/>
      <c r="D246" s="3"/>
      <c r="E246" s="49"/>
      <c r="F246" s="49"/>
      <c r="G246" s="49">
        <v>3196.84</v>
      </c>
      <c r="H246" s="49">
        <v>4200.3</v>
      </c>
      <c r="I246" s="49">
        <v>2284</v>
      </c>
      <c r="J246" s="49"/>
      <c r="K246" s="49"/>
      <c r="L246" s="49"/>
      <c r="M246" s="49"/>
      <c r="N246" s="49">
        <f t="shared" si="123"/>
        <v>9681.14</v>
      </c>
      <c r="P246" s="49"/>
      <c r="Q246" s="49"/>
    </row>
    <row r="247" spans="1:17" x14ac:dyDescent="0.25">
      <c r="A247" s="105" t="s">
        <v>399</v>
      </c>
      <c r="B247" s="49">
        <v>3782</v>
      </c>
      <c r="C247" s="49">
        <v>3307.08</v>
      </c>
      <c r="D247" s="3">
        <v>1484.08</v>
      </c>
      <c r="E247" s="49">
        <v>3120.16</v>
      </c>
      <c r="F247" s="49">
        <v>1484.08</v>
      </c>
      <c r="G247" s="49">
        <v>10055.51</v>
      </c>
      <c r="H247" s="49">
        <v>11706.59</v>
      </c>
      <c r="I247" s="49">
        <v>10222.51</v>
      </c>
      <c r="J247" s="49"/>
      <c r="K247" s="49"/>
      <c r="L247" s="49"/>
      <c r="M247" s="49"/>
      <c r="N247" s="49">
        <f t="shared" si="123"/>
        <v>45162.01</v>
      </c>
      <c r="P247" s="49"/>
      <c r="Q247" s="49"/>
    </row>
    <row r="248" spans="1:17" x14ac:dyDescent="0.25">
      <c r="A248" s="105" t="s">
        <v>442</v>
      </c>
      <c r="B248" s="49">
        <v>44000</v>
      </c>
      <c r="C248" s="49">
        <v>25000</v>
      </c>
      <c r="D248" s="3">
        <v>25000</v>
      </c>
      <c r="E248" s="49">
        <v>25000</v>
      </c>
      <c r="F248" s="49">
        <v>25000</v>
      </c>
      <c r="G248" s="49">
        <v>29428.57</v>
      </c>
      <c r="H248" s="49">
        <v>29428.57</v>
      </c>
      <c r="I248" s="49">
        <v>29428.57</v>
      </c>
      <c r="J248" s="49"/>
      <c r="K248" s="49"/>
      <c r="L248" s="49"/>
      <c r="M248" s="49"/>
      <c r="N248" s="49">
        <f t="shared" si="123"/>
        <v>232285.71000000002</v>
      </c>
      <c r="P248" s="49"/>
      <c r="Q248" s="49"/>
    </row>
    <row r="249" spans="1:17" x14ac:dyDescent="0.25">
      <c r="A249" s="105" t="s">
        <v>400</v>
      </c>
      <c r="B249" s="49">
        <v>7500</v>
      </c>
      <c r="C249" s="49">
        <v>7500</v>
      </c>
      <c r="D249" s="3">
        <v>8000</v>
      </c>
      <c r="E249" s="49">
        <v>7500</v>
      </c>
      <c r="F249" s="49">
        <v>7500</v>
      </c>
      <c r="G249" s="49">
        <v>7500</v>
      </c>
      <c r="H249" s="49">
        <v>7500</v>
      </c>
      <c r="I249" s="49">
        <v>7500</v>
      </c>
      <c r="J249" s="49"/>
      <c r="K249" s="49"/>
      <c r="L249" s="49"/>
      <c r="M249" s="49"/>
      <c r="N249" s="49">
        <f t="shared" si="123"/>
        <v>60500</v>
      </c>
      <c r="P249" s="49"/>
      <c r="Q249" s="49"/>
    </row>
    <row r="250" spans="1:17" x14ac:dyDescent="0.25">
      <c r="A250" s="105" t="s">
        <v>443</v>
      </c>
      <c r="B250" s="49">
        <v>0</v>
      </c>
      <c r="C250" s="49">
        <v>1215</v>
      </c>
      <c r="D250" s="3">
        <v>0</v>
      </c>
      <c r="E250" s="49">
        <v>8257.5</v>
      </c>
      <c r="F250" s="49">
        <v>3982.5</v>
      </c>
      <c r="G250" s="49">
        <v>6097.5</v>
      </c>
      <c r="H250" s="49">
        <v>9922.5</v>
      </c>
      <c r="I250" s="49">
        <v>4455</v>
      </c>
      <c r="J250" s="49"/>
      <c r="K250" s="49"/>
      <c r="L250" s="49"/>
      <c r="M250" s="49"/>
      <c r="N250" s="49">
        <f t="shared" si="123"/>
        <v>33930</v>
      </c>
      <c r="P250" s="49"/>
      <c r="Q250" s="49"/>
    </row>
    <row r="251" spans="1:17" x14ac:dyDescent="0.25">
      <c r="A251" s="105" t="s">
        <v>444</v>
      </c>
      <c r="B251" s="49">
        <v>109</v>
      </c>
      <c r="C251" s="49">
        <v>0</v>
      </c>
      <c r="D251" s="3">
        <v>0</v>
      </c>
      <c r="E251" s="49">
        <v>0</v>
      </c>
      <c r="F251" s="49">
        <v>0</v>
      </c>
      <c r="G251" s="49">
        <v>0</v>
      </c>
      <c r="H251" s="49">
        <v>161</v>
      </c>
      <c r="I251" s="49">
        <v>300</v>
      </c>
      <c r="J251" s="49"/>
      <c r="K251" s="49"/>
      <c r="L251" s="49"/>
      <c r="M251" s="49"/>
      <c r="N251" s="49">
        <f t="shared" si="123"/>
        <v>570</v>
      </c>
      <c r="P251" s="49"/>
      <c r="Q251" s="49"/>
    </row>
    <row r="252" spans="1:17" x14ac:dyDescent="0.25">
      <c r="A252" s="105" t="s">
        <v>445</v>
      </c>
      <c r="B252" s="49">
        <v>0</v>
      </c>
      <c r="C252" s="49">
        <v>0</v>
      </c>
      <c r="D252" s="3">
        <v>0</v>
      </c>
      <c r="E252" s="49">
        <v>0</v>
      </c>
      <c r="F252" s="49">
        <v>300</v>
      </c>
      <c r="G252" s="49">
        <v>0</v>
      </c>
      <c r="H252" s="49">
        <v>0</v>
      </c>
      <c r="I252" s="49">
        <v>86.71</v>
      </c>
      <c r="J252" s="49"/>
      <c r="K252" s="49"/>
      <c r="L252" s="49"/>
      <c r="M252" s="49"/>
      <c r="N252" s="49">
        <f t="shared" si="123"/>
        <v>386.71</v>
      </c>
      <c r="P252" s="49"/>
      <c r="Q252" s="49"/>
    </row>
    <row r="253" spans="1:17" x14ac:dyDescent="0.25">
      <c r="A253" s="105" t="s">
        <v>446</v>
      </c>
      <c r="B253" s="49">
        <v>0</v>
      </c>
      <c r="C253" s="49">
        <v>0</v>
      </c>
      <c r="D253" s="3">
        <v>0</v>
      </c>
      <c r="E253" s="49">
        <v>0</v>
      </c>
      <c r="F253" s="49">
        <v>0</v>
      </c>
      <c r="G253" s="49">
        <v>573.52</v>
      </c>
      <c r="H253" s="49">
        <v>0</v>
      </c>
      <c r="I253" s="49">
        <v>0</v>
      </c>
      <c r="J253" s="49"/>
      <c r="K253" s="49"/>
      <c r="L253" s="49"/>
      <c r="M253" s="49"/>
      <c r="N253" s="49">
        <f t="shared" si="123"/>
        <v>573.52</v>
      </c>
      <c r="P253" s="49"/>
      <c r="Q253" s="49"/>
    </row>
    <row r="254" spans="1:17" s="151" customFormat="1" x14ac:dyDescent="0.25">
      <c r="A254" s="5" t="s">
        <v>470</v>
      </c>
      <c r="B254" s="49"/>
      <c r="C254" s="49"/>
      <c r="D254" s="3"/>
      <c r="E254" s="49"/>
      <c r="F254" s="49"/>
      <c r="G254" s="49">
        <v>0</v>
      </c>
      <c r="H254" s="49">
        <v>0</v>
      </c>
      <c r="I254" s="49">
        <v>6518.25</v>
      </c>
      <c r="J254" s="49"/>
      <c r="K254" s="49"/>
      <c r="L254" s="49"/>
      <c r="M254" s="49"/>
      <c r="N254" s="49">
        <f t="shared" ref="N254" si="124">SUM(B254:M254)</f>
        <v>6518.25</v>
      </c>
      <c r="P254" s="49"/>
      <c r="Q254" s="49"/>
    </row>
    <row r="255" spans="1:17" ht="15.75" thickBot="1" x14ac:dyDescent="0.3">
      <c r="A255" s="113" t="s">
        <v>200</v>
      </c>
      <c r="B255" s="34">
        <f t="shared" ref="B255:G255" si="125">SUM(B225:B253)</f>
        <v>111240.83</v>
      </c>
      <c r="C255" s="34">
        <f t="shared" si="125"/>
        <v>91232.06</v>
      </c>
      <c r="D255" s="34">
        <f t="shared" si="125"/>
        <v>94277.48000000001</v>
      </c>
      <c r="E255" s="34">
        <f t="shared" si="125"/>
        <v>88611.98000000001</v>
      </c>
      <c r="F255" s="34">
        <f t="shared" si="125"/>
        <v>89444.540000000008</v>
      </c>
      <c r="G255" s="34">
        <f t="shared" si="125"/>
        <v>103146.35</v>
      </c>
      <c r="H255" s="34">
        <f t="shared" ref="H255" si="126">SUM(H225:H252)</f>
        <v>118506.03</v>
      </c>
      <c r="I255" s="34">
        <f>SUM(I225:I254)</f>
        <v>113578.72000000002</v>
      </c>
      <c r="J255" s="34">
        <f>SUM(J225:J252)</f>
        <v>0</v>
      </c>
      <c r="K255" s="34">
        <f>SUM(K225:K252)</f>
        <v>0</v>
      </c>
      <c r="L255" s="34">
        <f>SUM(L225:L252)</f>
        <v>0</v>
      </c>
      <c r="M255" s="34">
        <f>SUM(M225:M252)</f>
        <v>0</v>
      </c>
      <c r="N255" s="34">
        <f>SUM(N225:N254)</f>
        <v>810037.99</v>
      </c>
      <c r="P255" s="34">
        <f t="shared" si="119"/>
        <v>73639.817272727276</v>
      </c>
      <c r="Q255" s="34">
        <f t="shared" si="120"/>
        <v>-73639.817272727276</v>
      </c>
    </row>
    <row r="256" spans="1:17" ht="15.75" thickTop="1" x14ac:dyDescent="0.25"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P256" s="49">
        <f t="shared" si="119"/>
        <v>0</v>
      </c>
      <c r="Q256" s="49">
        <f t="shared" si="120"/>
        <v>0</v>
      </c>
    </row>
    <row r="257" spans="1:17" x14ac:dyDescent="0.25">
      <c r="A257" s="113" t="s">
        <v>328</v>
      </c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P257" s="49">
        <f t="shared" si="119"/>
        <v>0</v>
      </c>
      <c r="Q257" s="49">
        <f t="shared" si="120"/>
        <v>0</v>
      </c>
    </row>
    <row r="258" spans="1:17" x14ac:dyDescent="0.25">
      <c r="A258" s="105" t="s">
        <v>201</v>
      </c>
      <c r="B258" s="49">
        <v>12500</v>
      </c>
      <c r="C258" s="49">
        <v>12500</v>
      </c>
      <c r="D258" s="49">
        <v>12500</v>
      </c>
      <c r="E258" s="49">
        <v>12500</v>
      </c>
      <c r="F258" s="49">
        <v>12500</v>
      </c>
      <c r="G258" s="49">
        <v>12500</v>
      </c>
      <c r="H258" s="49">
        <v>12500</v>
      </c>
      <c r="I258" s="49">
        <v>12500</v>
      </c>
      <c r="J258" s="49"/>
      <c r="K258" s="49"/>
      <c r="L258" s="49"/>
      <c r="M258" s="49"/>
      <c r="N258" s="49">
        <f t="shared" ref="N258:N269" si="127">SUM(B258:M258)</f>
        <v>100000</v>
      </c>
      <c r="P258" s="49">
        <f t="shared" si="119"/>
        <v>9090.9090909090901</v>
      </c>
      <c r="Q258" s="49">
        <f t="shared" si="120"/>
        <v>-9090.9090909090901</v>
      </c>
    </row>
    <row r="259" spans="1:17" x14ac:dyDescent="0.25">
      <c r="A259" s="105" t="s">
        <v>202</v>
      </c>
      <c r="B259" s="49">
        <v>34022.5</v>
      </c>
      <c r="C259" s="49">
        <v>34265</v>
      </c>
      <c r="D259" s="49">
        <v>34451.25</v>
      </c>
      <c r="E259" s="49">
        <v>34845</v>
      </c>
      <c r="F259" s="49">
        <v>34565</v>
      </c>
      <c r="G259" s="49">
        <v>34906.25</v>
      </c>
      <c r="H259" s="49">
        <v>36258.75</v>
      </c>
      <c r="I259" s="49">
        <v>35423.75</v>
      </c>
      <c r="J259" s="49"/>
      <c r="K259" s="49"/>
      <c r="L259" s="49"/>
      <c r="M259" s="49"/>
      <c r="N259" s="49">
        <f t="shared" si="127"/>
        <v>278737.5</v>
      </c>
      <c r="P259" s="49">
        <f t="shared" si="119"/>
        <v>25339.772727272728</v>
      </c>
      <c r="Q259" s="49">
        <f t="shared" si="120"/>
        <v>-25339.772727272728</v>
      </c>
    </row>
    <row r="260" spans="1:17" x14ac:dyDescent="0.25">
      <c r="A260" s="105" t="s">
        <v>401</v>
      </c>
      <c r="B260" s="49">
        <v>0</v>
      </c>
      <c r="C260" s="49">
        <v>0</v>
      </c>
      <c r="D260" s="49">
        <v>0</v>
      </c>
      <c r="E260" s="49">
        <v>0</v>
      </c>
      <c r="F260" s="49">
        <v>31752.38</v>
      </c>
      <c r="G260" s="49">
        <v>5625.56</v>
      </c>
      <c r="H260" s="49">
        <v>4645.78</v>
      </c>
      <c r="I260" s="49">
        <v>3846.94</v>
      </c>
      <c r="J260" s="49"/>
      <c r="K260" s="49"/>
      <c r="L260" s="49"/>
      <c r="M260" s="49"/>
      <c r="N260" s="49">
        <f t="shared" si="127"/>
        <v>45870.66</v>
      </c>
      <c r="P260" s="49"/>
      <c r="Q260" s="49"/>
    </row>
    <row r="261" spans="1:17" x14ac:dyDescent="0.25">
      <c r="A261" s="105" t="s">
        <v>203</v>
      </c>
      <c r="B261" s="49">
        <v>6585.5</v>
      </c>
      <c r="C261" s="49">
        <v>10400.5</v>
      </c>
      <c r="D261" s="49">
        <v>6846.5</v>
      </c>
      <c r="E261" s="49">
        <v>18155</v>
      </c>
      <c r="F261" s="49">
        <v>23942.5</v>
      </c>
      <c r="G261" s="49">
        <v>23535</v>
      </c>
      <c r="H261" s="49">
        <v>27107.66</v>
      </c>
      <c r="I261" s="49">
        <v>22399.58</v>
      </c>
      <c r="J261" s="49"/>
      <c r="K261" s="49"/>
      <c r="L261" s="49"/>
      <c r="M261" s="49"/>
      <c r="N261" s="49">
        <f t="shared" si="127"/>
        <v>138972.24</v>
      </c>
      <c r="P261" s="49"/>
      <c r="Q261" s="49"/>
    </row>
    <row r="262" spans="1:17" x14ac:dyDescent="0.25">
      <c r="A262" s="105" t="s">
        <v>204</v>
      </c>
      <c r="B262" s="49">
        <v>41021.9</v>
      </c>
      <c r="C262" s="49">
        <v>14206.22</v>
      </c>
      <c r="D262" s="49">
        <v>13266.54</v>
      </c>
      <c r="E262" s="49">
        <v>32043.16</v>
      </c>
      <c r="F262" s="49">
        <v>18002.150000000001</v>
      </c>
      <c r="G262" s="49">
        <v>18622.22</v>
      </c>
      <c r="H262" s="49">
        <v>12562.67</v>
      </c>
      <c r="I262" s="49">
        <v>3538.9</v>
      </c>
      <c r="J262" s="49"/>
      <c r="K262" s="49"/>
      <c r="L262" s="49"/>
      <c r="M262" s="49"/>
      <c r="N262" s="49">
        <f t="shared" si="127"/>
        <v>153263.76</v>
      </c>
      <c r="P262" s="49">
        <f t="shared" ref="P262:P274" si="128">(N262-M262)/11</f>
        <v>13933.069090909092</v>
      </c>
      <c r="Q262" s="49">
        <f t="shared" ref="Q262:Q274" si="129">M262-P262</f>
        <v>-13933.069090909092</v>
      </c>
    </row>
    <row r="263" spans="1:17" x14ac:dyDescent="0.25">
      <c r="A263" s="105" t="s">
        <v>205</v>
      </c>
      <c r="B263" s="49">
        <v>-12832.51</v>
      </c>
      <c r="C263" s="49">
        <v>-10798.17</v>
      </c>
      <c r="D263" s="49">
        <v>-12464.55</v>
      </c>
      <c r="E263" s="49">
        <v>-15499.01</v>
      </c>
      <c r="F263" s="49">
        <v>-24863.5</v>
      </c>
      <c r="G263" s="49">
        <v>-16320.72</v>
      </c>
      <c r="H263" s="49">
        <v>-14231.08</v>
      </c>
      <c r="I263" s="49">
        <v>-15651.5</v>
      </c>
      <c r="J263" s="49"/>
      <c r="K263" s="49"/>
      <c r="L263" s="49"/>
      <c r="M263" s="49"/>
      <c r="N263" s="49">
        <f t="shared" si="127"/>
        <v>-122661.04</v>
      </c>
      <c r="P263" s="49">
        <f t="shared" si="128"/>
        <v>-11151.003636363635</v>
      </c>
      <c r="Q263" s="49">
        <f t="shared" si="129"/>
        <v>11151.003636363635</v>
      </c>
    </row>
    <row r="264" spans="1:17" x14ac:dyDescent="0.25">
      <c r="A264" s="105" t="s">
        <v>402</v>
      </c>
      <c r="B264" s="49">
        <v>0</v>
      </c>
      <c r="C264" s="49">
        <v>0</v>
      </c>
      <c r="D264" s="49">
        <v>0.1</v>
      </c>
      <c r="E264" s="49">
        <v>0</v>
      </c>
      <c r="F264" s="49">
        <v>0</v>
      </c>
      <c r="G264" s="49">
        <v>49.5</v>
      </c>
      <c r="H264" s="49">
        <v>0</v>
      </c>
      <c r="I264" s="49">
        <v>0</v>
      </c>
      <c r="J264" s="49"/>
      <c r="K264" s="49"/>
      <c r="L264" s="49"/>
      <c r="M264" s="49"/>
      <c r="N264" s="49">
        <f t="shared" si="127"/>
        <v>49.6</v>
      </c>
      <c r="P264" s="49">
        <f t="shared" si="128"/>
        <v>4.5090909090909088</v>
      </c>
      <c r="Q264" s="49">
        <f t="shared" si="129"/>
        <v>-4.5090909090909088</v>
      </c>
    </row>
    <row r="265" spans="1:17" x14ac:dyDescent="0.25">
      <c r="A265" s="105" t="s">
        <v>403</v>
      </c>
      <c r="B265" s="49">
        <v>0</v>
      </c>
      <c r="C265" s="49">
        <v>0</v>
      </c>
      <c r="D265" s="49">
        <v>0</v>
      </c>
      <c r="E265" s="49">
        <v>0</v>
      </c>
      <c r="F265" s="49">
        <v>2087.77</v>
      </c>
      <c r="G265" s="49">
        <v>2250.1799999999998</v>
      </c>
      <c r="H265" s="49">
        <v>1925.15</v>
      </c>
      <c r="I265" s="49">
        <v>9930.23</v>
      </c>
      <c r="J265" s="49"/>
      <c r="K265" s="49"/>
      <c r="L265" s="49"/>
      <c r="M265" s="49"/>
      <c r="N265" s="49">
        <f t="shared" si="127"/>
        <v>16193.33</v>
      </c>
      <c r="P265" s="49"/>
      <c r="Q265" s="49"/>
    </row>
    <row r="266" spans="1:17" x14ac:dyDescent="0.25">
      <c r="A266" s="105" t="s">
        <v>449</v>
      </c>
      <c r="B266" s="49">
        <v>0</v>
      </c>
      <c r="C266" s="49">
        <v>0</v>
      </c>
      <c r="D266" s="49">
        <v>0</v>
      </c>
      <c r="E266" s="49">
        <v>0</v>
      </c>
      <c r="F266" s="49">
        <v>0</v>
      </c>
      <c r="G266" s="49">
        <v>944.87</v>
      </c>
      <c r="H266" s="49">
        <v>896.84</v>
      </c>
      <c r="I266" s="49">
        <v>1815.02</v>
      </c>
      <c r="J266" s="49"/>
      <c r="K266" s="49"/>
      <c r="L266" s="49"/>
      <c r="M266" s="49"/>
      <c r="N266" s="49">
        <f t="shared" si="127"/>
        <v>3656.73</v>
      </c>
      <c r="P266" s="49"/>
      <c r="Q266" s="49"/>
    </row>
    <row r="267" spans="1:17" x14ac:dyDescent="0.25">
      <c r="A267" s="105" t="s">
        <v>404</v>
      </c>
      <c r="B267" s="49">
        <v>0</v>
      </c>
      <c r="C267" s="49">
        <v>0</v>
      </c>
      <c r="D267" s="49">
        <v>0</v>
      </c>
      <c r="E267" s="49">
        <v>0</v>
      </c>
      <c r="F267" s="49">
        <v>7848.21</v>
      </c>
      <c r="G267" s="49">
        <v>7891.39</v>
      </c>
      <c r="H267" s="49">
        <v>2345.38</v>
      </c>
      <c r="I267" s="49">
        <v>2213.81</v>
      </c>
      <c r="J267" s="49"/>
      <c r="K267" s="49"/>
      <c r="L267" s="49"/>
      <c r="M267" s="49"/>
      <c r="N267" s="49">
        <f t="shared" si="127"/>
        <v>20298.79</v>
      </c>
      <c r="P267" s="49"/>
      <c r="Q267" s="49"/>
    </row>
    <row r="268" spans="1:17" x14ac:dyDescent="0.25">
      <c r="A268" s="105" t="s">
        <v>448</v>
      </c>
      <c r="B268" s="49">
        <v>0</v>
      </c>
      <c r="C268" s="49">
        <v>0</v>
      </c>
      <c r="D268" s="49">
        <v>0</v>
      </c>
      <c r="E268" s="49">
        <v>0</v>
      </c>
      <c r="F268" s="49">
        <v>0</v>
      </c>
      <c r="G268" s="49">
        <v>2495.6</v>
      </c>
      <c r="H268" s="49">
        <v>7458.78</v>
      </c>
      <c r="I268" s="49">
        <v>7350.25</v>
      </c>
      <c r="J268" s="49"/>
      <c r="K268" s="49"/>
      <c r="L268" s="49"/>
      <c r="M268" s="49"/>
      <c r="N268" s="49">
        <f t="shared" si="127"/>
        <v>17304.629999999997</v>
      </c>
      <c r="P268" s="49"/>
      <c r="Q268" s="49"/>
    </row>
    <row r="269" spans="1:17" x14ac:dyDescent="0.25">
      <c r="A269" s="105" t="s">
        <v>461</v>
      </c>
      <c r="B269" s="49">
        <v>0</v>
      </c>
      <c r="C269" s="49">
        <v>0</v>
      </c>
      <c r="D269" s="49">
        <v>0</v>
      </c>
      <c r="E269" s="49">
        <v>0</v>
      </c>
      <c r="F269" s="49">
        <v>0</v>
      </c>
      <c r="G269" s="49">
        <v>0</v>
      </c>
      <c r="H269" s="49">
        <v>3098.28</v>
      </c>
      <c r="I269" s="49">
        <v>0</v>
      </c>
      <c r="J269" s="49"/>
      <c r="K269" s="49"/>
      <c r="L269" s="49"/>
      <c r="M269" s="49"/>
      <c r="N269" s="49">
        <f t="shared" si="127"/>
        <v>3098.28</v>
      </c>
      <c r="P269" s="49"/>
      <c r="Q269" s="49"/>
    </row>
    <row r="270" spans="1:17" ht="15.75" thickBot="1" x14ac:dyDescent="0.3">
      <c r="A270" s="113" t="s">
        <v>206</v>
      </c>
      <c r="B270" s="36">
        <f t="shared" ref="B270:I270" si="130">SUM(B258:B269)</f>
        <v>81297.39</v>
      </c>
      <c r="C270" s="36">
        <f t="shared" si="130"/>
        <v>60573.55</v>
      </c>
      <c r="D270" s="36">
        <f t="shared" si="130"/>
        <v>54599.840000000004</v>
      </c>
      <c r="E270" s="36">
        <f t="shared" si="130"/>
        <v>82044.150000000009</v>
      </c>
      <c r="F270" s="36">
        <f t="shared" si="130"/>
        <v>105834.51000000001</v>
      </c>
      <c r="G270" s="36">
        <f t="shared" si="130"/>
        <v>92499.849999999991</v>
      </c>
      <c r="H270" s="36">
        <f t="shared" ref="H270" si="131">SUM(H258:H269)</f>
        <v>94568.209999999992</v>
      </c>
      <c r="I270" s="36">
        <f t="shared" si="130"/>
        <v>83366.98</v>
      </c>
      <c r="J270" s="36">
        <f t="shared" ref="J270:M270" si="132">SUM(J258:J268)</f>
        <v>0</v>
      </c>
      <c r="K270" s="36">
        <f t="shared" si="132"/>
        <v>0</v>
      </c>
      <c r="L270" s="36">
        <f t="shared" si="132"/>
        <v>0</v>
      </c>
      <c r="M270" s="36">
        <f t="shared" si="132"/>
        <v>0</v>
      </c>
      <c r="N270" s="36">
        <f>SUM(N258:N269)</f>
        <v>654784.48</v>
      </c>
      <c r="P270" s="36">
        <f t="shared" si="128"/>
        <v>59525.861818181816</v>
      </c>
      <c r="Q270" s="36">
        <f t="shared" si="129"/>
        <v>-59525.861818181816</v>
      </c>
    </row>
    <row r="271" spans="1:17" ht="15.75" thickTop="1" x14ac:dyDescent="0.25">
      <c r="P271" s="5">
        <f t="shared" si="128"/>
        <v>0</v>
      </c>
      <c r="Q271" s="5">
        <f t="shared" si="129"/>
        <v>0</v>
      </c>
    </row>
    <row r="272" spans="1:17" s="33" customFormat="1" ht="15.75" thickBot="1" x14ac:dyDescent="0.3">
      <c r="A272" s="113" t="s">
        <v>207</v>
      </c>
      <c r="B272" s="34">
        <f t="shared" ref="B272:G272" si="133">B191-B204-B223-B255+B270</f>
        <v>65733.430000085849</v>
      </c>
      <c r="C272" s="34">
        <f t="shared" si="133"/>
        <v>62568.989999875965</v>
      </c>
      <c r="D272" s="34">
        <f t="shared" si="133"/>
        <v>190852.60999999283</v>
      </c>
      <c r="E272" s="34">
        <f t="shared" si="133"/>
        <v>-70572.119999890318</v>
      </c>
      <c r="F272" s="34">
        <f t="shared" si="133"/>
        <v>-203743.00000022177</v>
      </c>
      <c r="G272" s="34">
        <f t="shared" si="133"/>
        <v>-88358.510000069175</v>
      </c>
      <c r="H272" s="34">
        <f t="shared" ref="H272" si="134">H191-H204-H223-H255+H270</f>
        <v>-303625.04000008584</v>
      </c>
      <c r="I272" s="34">
        <f t="shared" ref="I272:N272" si="135">I191-I204-I223-I255+I270</f>
        <v>-208857.15000011685</v>
      </c>
      <c r="J272" s="34">
        <f t="shared" si="135"/>
        <v>0</v>
      </c>
      <c r="K272" s="34">
        <f t="shared" si="135"/>
        <v>0</v>
      </c>
      <c r="L272" s="34">
        <f t="shared" si="135"/>
        <v>0</v>
      </c>
      <c r="M272" s="34">
        <f t="shared" si="135"/>
        <v>0</v>
      </c>
      <c r="N272" s="34">
        <f t="shared" si="135"/>
        <v>-556000.79000042868</v>
      </c>
      <c r="P272" s="34">
        <f t="shared" si="128"/>
        <v>-50545.526363675337</v>
      </c>
      <c r="Q272" s="34">
        <f t="shared" si="129"/>
        <v>50545.526363675337</v>
      </c>
    </row>
    <row r="273" spans="2:17" ht="15.75" thickTop="1" x14ac:dyDescent="0.25">
      <c r="P273" s="5">
        <f t="shared" si="128"/>
        <v>0</v>
      </c>
      <c r="Q273" s="5">
        <f t="shared" si="129"/>
        <v>0</v>
      </c>
    </row>
    <row r="274" spans="2:17" x14ac:dyDescent="0.25">
      <c r="B274" s="37">
        <f t="shared" ref="B274:G274" si="136">+B75-B272</f>
        <v>3.3411197364330292E-8</v>
      </c>
      <c r="C274" s="37">
        <f t="shared" si="136"/>
        <v>-8.5987267084419727E-8</v>
      </c>
      <c r="D274" s="37">
        <f t="shared" si="136"/>
        <v>-6.2107574194669724E-8</v>
      </c>
      <c r="E274" s="37">
        <f t="shared" si="136"/>
        <v>-1.5135447029024363E-7</v>
      </c>
      <c r="F274" s="37">
        <f t="shared" si="136"/>
        <v>2.2526364773511887E-7</v>
      </c>
      <c r="G274" s="37">
        <f t="shared" si="136"/>
        <v>1.1888914741575718E-8</v>
      </c>
      <c r="H274" s="37">
        <f t="shared" ref="H274" si="137">+H75-H272</f>
        <v>1.0972144082188606E-7</v>
      </c>
      <c r="I274" s="37">
        <f t="shared" ref="I274:N274" si="138">+I75-I272</f>
        <v>1.6932608559727669E-7</v>
      </c>
      <c r="J274" s="37">
        <f t="shared" si="138"/>
        <v>0</v>
      </c>
      <c r="K274" s="37">
        <f t="shared" si="138"/>
        <v>0</v>
      </c>
      <c r="L274" s="37">
        <f t="shared" si="138"/>
        <v>0</v>
      </c>
      <c r="M274" s="37">
        <f t="shared" si="138"/>
        <v>0</v>
      </c>
      <c r="N274" s="37">
        <f t="shared" si="138"/>
        <v>1.382315531373024E-6</v>
      </c>
      <c r="P274" s="37">
        <f t="shared" si="128"/>
        <v>1.2566504830663855E-7</v>
      </c>
      <c r="Q274" s="37">
        <f t="shared" si="129"/>
        <v>-1.2566504830663855E-7</v>
      </c>
    </row>
    <row r="276" spans="2:17" x14ac:dyDescent="0.25">
      <c r="L276" s="37"/>
    </row>
  </sheetData>
  <pageMargins left="0.5" right="0.5" top="0.5" bottom="0.45899934383202101" header="0.5" footer="0.5"/>
  <pageSetup scale="41" fitToHeight="0" orientation="landscape" r:id="rId1"/>
  <headerFooter scaleWithDoc="0" alignWithMargins="0"/>
  <rowBreaks count="5" manualBreakCount="5">
    <brk id="48" max="13" man="1"/>
    <brk id="101" max="13" man="1"/>
    <brk id="127" max="13" man="1"/>
    <brk id="191" max="13" man="1"/>
    <brk id="255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2CB2-33FD-4BE7-BFBB-18800FFB8DE2}">
  <dimension ref="A1"/>
  <sheetViews>
    <sheetView workbookViewId="0">
      <selection activeCell="D29" sqref="D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view="pageBreakPreview" zoomScale="60" zoomScaleNormal="100" workbookViewId="0">
      <pane ySplit="6" topLeftCell="A40" activePane="bottomLeft" state="frozen"/>
      <selection activeCell="C24" sqref="C24"/>
      <selection pane="bottomLeft" activeCell="A44" sqref="A44"/>
    </sheetView>
  </sheetViews>
  <sheetFormatPr defaultRowHeight="15" x14ac:dyDescent="0.25"/>
  <cols>
    <col min="1" max="1" width="47" bestFit="1" customWidth="1"/>
    <col min="2" max="2" width="23.42578125" style="46" bestFit="1" customWidth="1"/>
    <col min="3" max="3" width="19.7109375" style="46" bestFit="1" customWidth="1"/>
    <col min="4" max="8" width="18.7109375" style="46" customWidth="1"/>
    <col min="9" max="9" width="23.42578125" style="46" bestFit="1" customWidth="1"/>
    <col min="12" max="12" width="16.85546875" style="39" bestFit="1" customWidth="1"/>
  </cols>
  <sheetData>
    <row r="1" spans="1:12" ht="26.25" x14ac:dyDescent="0.4">
      <c r="A1" s="224" t="s">
        <v>334</v>
      </c>
      <c r="B1" s="224"/>
      <c r="C1" s="224"/>
      <c r="D1" s="224"/>
      <c r="E1" s="224"/>
      <c r="F1" s="224"/>
      <c r="G1" s="224"/>
      <c r="H1" s="224"/>
      <c r="I1" s="224"/>
    </row>
    <row r="2" spans="1:12" ht="26.25" x14ac:dyDescent="0.4">
      <c r="A2" s="224" t="s">
        <v>333</v>
      </c>
      <c r="B2" s="224"/>
      <c r="C2" s="224"/>
      <c r="D2" s="224"/>
      <c r="E2" s="224"/>
      <c r="F2" s="224"/>
      <c r="G2" s="224"/>
      <c r="H2" s="224"/>
      <c r="I2" s="224"/>
    </row>
    <row r="3" spans="1:12" ht="26.25" x14ac:dyDescent="0.4">
      <c r="A3" s="224" t="s">
        <v>267</v>
      </c>
      <c r="B3" s="224"/>
      <c r="C3" s="224"/>
      <c r="D3" s="224"/>
      <c r="E3" s="224"/>
      <c r="F3" s="224"/>
      <c r="G3" s="224"/>
      <c r="H3" s="224"/>
      <c r="I3" s="224"/>
    </row>
    <row r="4" spans="1:12" ht="26.25" x14ac:dyDescent="0.4">
      <c r="A4" s="225">
        <v>43343</v>
      </c>
      <c r="B4" s="226"/>
      <c r="C4" s="226"/>
      <c r="D4" s="226"/>
      <c r="E4" s="226"/>
      <c r="F4" s="226"/>
      <c r="G4" s="226"/>
      <c r="H4" s="226"/>
      <c r="I4" s="226"/>
    </row>
    <row r="6" spans="1:12" s="79" customFormat="1" ht="30" customHeight="1" x14ac:dyDescent="0.3">
      <c r="B6" s="80" t="s">
        <v>213</v>
      </c>
      <c r="C6" s="80" t="s">
        <v>215</v>
      </c>
      <c r="D6" s="80" t="s">
        <v>214</v>
      </c>
      <c r="E6" s="80" t="s">
        <v>216</v>
      </c>
      <c r="F6" s="80" t="s">
        <v>217</v>
      </c>
      <c r="G6" s="80" t="s">
        <v>414</v>
      </c>
      <c r="H6" s="80" t="s">
        <v>426</v>
      </c>
      <c r="I6" s="80" t="s">
        <v>208</v>
      </c>
      <c r="L6" s="81"/>
    </row>
    <row r="7" spans="1:12" s="79" customFormat="1" ht="39.950000000000003" customHeight="1" x14ac:dyDescent="0.3">
      <c r="A7" s="82" t="s">
        <v>62</v>
      </c>
      <c r="B7" s="84">
        <f>'Comp Summary YTD 2018-2017 Aug'!B21</f>
        <v>3780555402.6500001</v>
      </c>
      <c r="C7" s="84">
        <f>'Comp Summary YTD 2018-2017 Aug'!C21</f>
        <v>63128358.089999996</v>
      </c>
      <c r="D7" s="84">
        <f>'Comp Summary YTD 2018-2017 Aug'!D21</f>
        <v>1651434.8699999999</v>
      </c>
      <c r="E7" s="84">
        <f>'Comp Summary YTD 2018-2017 Aug'!E21</f>
        <v>0</v>
      </c>
      <c r="F7" s="84">
        <f>'Comp Summary YTD 2018-2017 Aug'!F21</f>
        <v>539066.97000000009</v>
      </c>
      <c r="G7" s="84">
        <f>'Comp Summary YTD 2018-2017 Aug'!G21</f>
        <v>0</v>
      </c>
      <c r="H7" s="84">
        <f>'Comp Summary YTD 2018-2017 Aug'!H21</f>
        <v>0</v>
      </c>
      <c r="I7" s="84">
        <f>SUM(B7:H7)</f>
        <v>3845874262.5799999</v>
      </c>
      <c r="L7" s="81"/>
    </row>
    <row r="8" spans="1:12" s="79" customFormat="1" ht="39.950000000000003" customHeight="1" x14ac:dyDescent="0.3">
      <c r="B8" s="98"/>
      <c r="C8" s="98"/>
      <c r="D8" s="98"/>
      <c r="E8" s="98"/>
      <c r="F8" s="98"/>
      <c r="G8" s="98"/>
      <c r="H8" s="98"/>
      <c r="I8" s="98"/>
      <c r="L8" s="81"/>
    </row>
    <row r="9" spans="1:12" s="79" customFormat="1" ht="39.950000000000003" customHeight="1" x14ac:dyDescent="0.3">
      <c r="A9" s="82" t="s">
        <v>225</v>
      </c>
      <c r="B9" s="97">
        <f>'Comp Summary YTD 2018-2017 Aug'!B25</f>
        <v>3776320382.6999989</v>
      </c>
      <c r="C9" s="97">
        <f>'Comp Summary YTD 2018-2017 Aug'!C25</f>
        <v>62307638.309999995</v>
      </c>
      <c r="D9" s="97">
        <f>'Comp Summary YTD 2018-2017 Aug'!D25</f>
        <v>217282.57</v>
      </c>
      <c r="E9" s="97">
        <f>'Comp Summary YTD 2018-2017 Aug'!E25</f>
        <v>0</v>
      </c>
      <c r="F9" s="97">
        <f>'Comp Summary YTD 2018-2017 Aug'!F25</f>
        <v>1648.2199999999998</v>
      </c>
      <c r="G9" s="97">
        <f>'Comp Summary YTD 2018-2017 Aug'!G25</f>
        <v>0</v>
      </c>
      <c r="H9" s="97">
        <f>'Comp Summary YTD 2018-2017 Aug'!H25</f>
        <v>0</v>
      </c>
      <c r="I9" s="97">
        <f>SUM(B9:H9)</f>
        <v>3838846951.7999988</v>
      </c>
      <c r="L9" s="81"/>
    </row>
    <row r="10" spans="1:12" s="79" customFormat="1" ht="39.950000000000003" customHeight="1" x14ac:dyDescent="0.3">
      <c r="B10" s="83"/>
      <c r="C10" s="83"/>
      <c r="D10" s="83"/>
      <c r="E10" s="83"/>
      <c r="F10" s="83"/>
      <c r="G10" s="83"/>
      <c r="H10" s="83"/>
      <c r="I10" s="83"/>
      <c r="L10" s="81"/>
    </row>
    <row r="11" spans="1:12" s="79" customFormat="1" ht="39.950000000000003" customHeight="1" thickBot="1" x14ac:dyDescent="0.35">
      <c r="A11" s="82" t="s">
        <v>212</v>
      </c>
      <c r="B11" s="85">
        <f t="shared" ref="B11:H11" si="0">B7-B9</f>
        <v>4235019.9500012398</v>
      </c>
      <c r="C11" s="85">
        <f t="shared" si="0"/>
        <v>820719.78000000119</v>
      </c>
      <c r="D11" s="85">
        <f t="shared" si="0"/>
        <v>1434152.2999999998</v>
      </c>
      <c r="E11" s="85">
        <f t="shared" si="0"/>
        <v>0</v>
      </c>
      <c r="F11" s="85">
        <f t="shared" si="0"/>
        <v>537418.75000000012</v>
      </c>
      <c r="G11" s="85">
        <f>G7-G9</f>
        <v>0</v>
      </c>
      <c r="H11" s="85">
        <f t="shared" si="0"/>
        <v>0</v>
      </c>
      <c r="I11" s="85">
        <f>SUM(B11:H11)</f>
        <v>7027310.7800012408</v>
      </c>
      <c r="L11" s="81"/>
    </row>
    <row r="12" spans="1:12" s="79" customFormat="1" ht="30" customHeight="1" x14ac:dyDescent="0.3">
      <c r="B12" s="83"/>
      <c r="C12" s="83"/>
      <c r="D12" s="83"/>
      <c r="E12" s="83"/>
      <c r="F12" s="83"/>
      <c r="G12" s="83"/>
      <c r="H12" s="83"/>
      <c r="I12" s="83"/>
      <c r="L12" s="81"/>
    </row>
    <row r="13" spans="1:12" s="79" customFormat="1" ht="30" customHeight="1" x14ac:dyDescent="0.3">
      <c r="A13" s="82" t="s">
        <v>210</v>
      </c>
      <c r="B13" s="83"/>
      <c r="C13" s="83"/>
      <c r="D13" s="83"/>
      <c r="E13" s="83"/>
      <c r="F13" s="83"/>
      <c r="G13" s="83"/>
      <c r="H13" s="83"/>
      <c r="I13" s="83"/>
      <c r="L13" s="81"/>
    </row>
    <row r="14" spans="1:12" s="79" customFormat="1" ht="30" customHeight="1" x14ac:dyDescent="0.3">
      <c r="B14" s="83"/>
      <c r="C14" s="83"/>
      <c r="D14" s="83"/>
      <c r="E14" s="83"/>
      <c r="F14" s="83"/>
      <c r="G14" s="83"/>
      <c r="H14" s="83"/>
      <c r="I14" s="83"/>
      <c r="L14" s="81"/>
    </row>
    <row r="15" spans="1:12" s="79" customFormat="1" ht="30" customHeight="1" x14ac:dyDescent="0.3">
      <c r="A15" s="82" t="s">
        <v>226</v>
      </c>
      <c r="B15" s="83"/>
      <c r="C15" s="83"/>
      <c r="D15" s="83"/>
      <c r="E15" s="83"/>
      <c r="F15" s="83"/>
      <c r="G15" s="83"/>
      <c r="H15" s="83"/>
      <c r="I15" s="83"/>
      <c r="L15" s="81"/>
    </row>
    <row r="16" spans="1:12" s="79" customFormat="1" ht="30" customHeight="1" x14ac:dyDescent="0.3">
      <c r="B16" s="83">
        <f>'Summary YTD 08.31.18'!B32</f>
        <v>2498913.25</v>
      </c>
      <c r="C16" s="83">
        <f>'Summary YTD 08.31.18'!C32</f>
        <v>0</v>
      </c>
      <c r="D16" s="83">
        <f>'Summary YTD 08.31.18'!D32</f>
        <v>69792.83</v>
      </c>
      <c r="E16" s="83">
        <f>'Summary YTD 08.31.18'!E32</f>
        <v>0</v>
      </c>
      <c r="F16" s="83">
        <f>'Summary YTD 08.31.18'!F32</f>
        <v>210608.88999999998</v>
      </c>
      <c r="G16" s="83">
        <f>'Summary YTD 08.31.18'!G32</f>
        <v>0</v>
      </c>
      <c r="H16" s="83">
        <f>'Summary YTD 08.31.18'!H32</f>
        <v>0</v>
      </c>
      <c r="I16" s="83">
        <f>SUM(B16:H16)</f>
        <v>2779314.97</v>
      </c>
      <c r="L16" s="81"/>
    </row>
    <row r="17" spans="1:12" s="79" customFormat="1" ht="30" customHeight="1" x14ac:dyDescent="0.3">
      <c r="A17" s="79" t="s">
        <v>229</v>
      </c>
      <c r="B17" s="83">
        <f>'Summary YTD 08.31.18'!B34</f>
        <v>214768.75999999998</v>
      </c>
      <c r="C17" s="83">
        <f>'Summary YTD 08.31.18'!C34</f>
        <v>0</v>
      </c>
      <c r="D17" s="83">
        <f>'Summary YTD 08.31.18'!D34</f>
        <v>7444.7600000000011</v>
      </c>
      <c r="E17" s="83">
        <f>'Summary YTD 08.31.18'!E34</f>
        <v>0</v>
      </c>
      <c r="F17" s="83">
        <f>'Summary YTD 08.31.18'!F34</f>
        <v>14035.000000000002</v>
      </c>
      <c r="G17" s="83">
        <f>'Summary YTD 08.31.18'!G34</f>
        <v>0</v>
      </c>
      <c r="H17" s="83">
        <f>'Summary YTD 08.31.18'!H34</f>
        <v>0</v>
      </c>
      <c r="I17" s="83">
        <f>SUM(B17:H17)</f>
        <v>236248.52</v>
      </c>
      <c r="L17" s="81"/>
    </row>
    <row r="18" spans="1:12" s="79" customFormat="1" ht="30" customHeight="1" x14ac:dyDescent="0.3">
      <c r="A18" s="79" t="s">
        <v>418</v>
      </c>
      <c r="B18" s="83">
        <f>'Summary YTD 08.31.18'!B33+'Summary YTD 08.31.18'!B35+'Summary YTD 08.31.18'!B36+'Summary YTD 08.31.18'!B37+'Summary YTD 08.31.18'!B38+'Summary YTD 08.31.18'!B39+'Summary YTD 08.31.18'!B40</f>
        <v>404198.41000000003</v>
      </c>
      <c r="C18" s="83">
        <f>'Summary YTD 08.31.18'!C33+'Summary YTD 08.31.18'!C35+'Summary YTD 08.31.18'!C36+'Summary YTD 08.31.18'!C37+'Summary YTD 08.31.18'!C38+'Summary YTD 08.31.18'!C39+'Summary YTD 08.31.18'!C40</f>
        <v>0</v>
      </c>
      <c r="D18" s="83">
        <f>'Summary YTD 08.31.18'!D33+'Summary YTD 08.31.18'!D35+'Summary YTD 08.31.18'!D36+'Summary YTD 08.31.18'!D37+'Summary YTD 08.31.18'!D38+'Summary YTD 08.31.18'!D39+'Summary YTD 08.31.18'!D40</f>
        <v>30361.710000000003</v>
      </c>
      <c r="E18" s="83">
        <f>'Summary YTD 08.31.18'!E33+'Summary YTD 08.31.18'!E35+'Summary YTD 08.31.18'!E36+'Summary YTD 08.31.18'!E37+'Summary YTD 08.31.18'!E38+'Summary YTD 08.31.18'!E39+'Summary YTD 08.31.18'!E40</f>
        <v>0</v>
      </c>
      <c r="F18" s="83">
        <f>'Summary YTD 08.31.18'!F33+'Summary YTD 08.31.18'!F35+'Summary YTD 08.31.18'!F36+'Summary YTD 08.31.18'!F37+'Summary YTD 08.31.18'!F38+'Summary YTD 08.31.18'!F39+'Summary YTD 08.31.18'!F40</f>
        <v>48918.62999999999</v>
      </c>
      <c r="G18" s="83">
        <v>0</v>
      </c>
      <c r="H18" s="83">
        <f>'BSC (Dome)'!K24</f>
        <v>0</v>
      </c>
      <c r="I18" s="83">
        <f>SUM(B18:H18)</f>
        <v>483478.75000000006</v>
      </c>
      <c r="L18" s="81"/>
    </row>
    <row r="19" spans="1:12" s="79" customFormat="1" ht="30" customHeight="1" x14ac:dyDescent="0.3">
      <c r="A19" s="82" t="s">
        <v>234</v>
      </c>
      <c r="B19" s="84">
        <f t="shared" ref="B19:H19" si="1">SUM(B16:B18)</f>
        <v>3117880.42</v>
      </c>
      <c r="C19" s="84">
        <f t="shared" si="1"/>
        <v>0</v>
      </c>
      <c r="D19" s="84">
        <f t="shared" si="1"/>
        <v>107599.3</v>
      </c>
      <c r="E19" s="84">
        <f t="shared" si="1"/>
        <v>0</v>
      </c>
      <c r="F19" s="84">
        <f t="shared" si="1"/>
        <v>273562.51999999996</v>
      </c>
      <c r="G19" s="84">
        <f t="shared" si="1"/>
        <v>0</v>
      </c>
      <c r="H19" s="84">
        <f t="shared" si="1"/>
        <v>0</v>
      </c>
      <c r="I19" s="84">
        <f>SUM(B19:H19)</f>
        <v>3499042.2399999998</v>
      </c>
      <c r="L19" s="81"/>
    </row>
    <row r="20" spans="1:12" s="79" customFormat="1" ht="30" customHeight="1" x14ac:dyDescent="0.3">
      <c r="B20" s="83"/>
      <c r="C20" s="83"/>
      <c r="D20" s="83"/>
      <c r="E20" s="83"/>
      <c r="F20" s="83"/>
      <c r="G20" s="83"/>
      <c r="H20" s="83"/>
      <c r="I20" s="83"/>
      <c r="L20" s="81"/>
    </row>
    <row r="21" spans="1:12" s="79" customFormat="1" ht="30" customHeight="1" x14ac:dyDescent="0.3">
      <c r="A21" s="82" t="s">
        <v>235</v>
      </c>
      <c r="B21" s="83"/>
      <c r="C21" s="83"/>
      <c r="D21" s="83"/>
      <c r="E21" s="83"/>
      <c r="F21" s="83"/>
      <c r="G21" s="83"/>
      <c r="H21" s="83"/>
      <c r="I21" s="83"/>
      <c r="L21" s="81"/>
    </row>
    <row r="22" spans="1:12" s="79" customFormat="1" ht="30" customHeight="1" x14ac:dyDescent="0.3">
      <c r="A22" s="79" t="s">
        <v>236</v>
      </c>
      <c r="B22" s="83">
        <f>'Summary YTD 08.31.18'!B44</f>
        <v>273600</v>
      </c>
      <c r="C22" s="83">
        <f>'Summary YTD 08.31.18'!C44</f>
        <v>0</v>
      </c>
      <c r="D22" s="83">
        <f>'Summary YTD 08.31.18'!D44</f>
        <v>300000</v>
      </c>
      <c r="E22" s="83">
        <f>'Summary YTD 08.31.18'!E44</f>
        <v>0</v>
      </c>
      <c r="F22" s="83">
        <f>'Summary YTD 08.31.18'!F44</f>
        <v>8000</v>
      </c>
      <c r="G22" s="83">
        <f>'Summary YTD 08.31.18'!G44</f>
        <v>0</v>
      </c>
      <c r="H22" s="83">
        <f>'Summary YTD 08.31.18'!H44</f>
        <v>0</v>
      </c>
      <c r="I22" s="83">
        <f>SUM(B22:H22)</f>
        <v>581600</v>
      </c>
      <c r="L22" s="81"/>
    </row>
    <row r="23" spans="1:12" s="79" customFormat="1" ht="30" customHeight="1" x14ac:dyDescent="0.3">
      <c r="A23" s="79" t="s">
        <v>293</v>
      </c>
      <c r="B23" s="83">
        <f>'Summary YTD 08.31.18'!B45+'Summary YTD 08.31.18'!B46+'Summary YTD 08.31.18'!B47</f>
        <v>11885.000000000002</v>
      </c>
      <c r="C23" s="83">
        <f>'Summary YTD 08.31.18'!C45+'Summary YTD 08.31.18'!C46+'Summary YTD 08.31.18'!C47</f>
        <v>0</v>
      </c>
      <c r="D23" s="83">
        <f>'Summary YTD 08.31.18'!D45+'Summary YTD 08.31.18'!D46+'Summary YTD 08.31.18'!D47</f>
        <v>54470.559999999998</v>
      </c>
      <c r="E23" s="83">
        <f>'Summary YTD 08.31.18'!E45+'Summary YTD 08.31.18'!E46+'Summary YTD 08.31.18'!E47</f>
        <v>0</v>
      </c>
      <c r="F23" s="83">
        <f>'Summary YTD 08.31.18'!F45+'Summary YTD 08.31.18'!F46+'Summary YTD 08.31.18'!F47</f>
        <v>66018.13</v>
      </c>
      <c r="G23" s="83">
        <f>'Summary YTD 08.31.18'!G45+'Summary YTD 08.31.18'!G46+'Summary YTD 08.31.18'!G47</f>
        <v>0</v>
      </c>
      <c r="H23" s="83">
        <f>'Summary YTD 08.31.18'!H45+'Summary YTD 08.31.18'!H46+'Summary YTD 08.31.18'!H47</f>
        <v>0</v>
      </c>
      <c r="I23" s="83">
        <f t="shared" ref="I23:I35" si="2">SUM(B23:H23)</f>
        <v>132373.69</v>
      </c>
      <c r="L23" s="81"/>
    </row>
    <row r="24" spans="1:12" s="79" customFormat="1" ht="30" customHeight="1" x14ac:dyDescent="0.3">
      <c r="A24" s="79" t="s">
        <v>419</v>
      </c>
      <c r="B24" s="83">
        <f>'Summary YTD 08.31.18'!B48+'Summary YTD 08.31.18'!B49+'Summary YTD 08.31.18'!B50+'Summary YTD 08.31.18'!B51</f>
        <v>112182.68999999999</v>
      </c>
      <c r="C24" s="83">
        <f>'Summary YTD 08.31.18'!C48+'Summary YTD 08.31.18'!C49+'Summary YTD 08.31.18'!C50+'Summary YTD 08.31.18'!C51</f>
        <v>2719.73</v>
      </c>
      <c r="D24" s="83">
        <f>'Summary YTD 08.31.18'!D48+'Summary YTD 08.31.18'!D49+'Summary YTD 08.31.18'!D50+'Summary YTD 08.31.18'!D51</f>
        <v>46517.32</v>
      </c>
      <c r="E24" s="83">
        <f>'Summary YTD 08.31.18'!E48+'Summary YTD 08.31.18'!E49+'Summary YTD 08.31.18'!E50+'Summary YTD 08.31.18'!E51</f>
        <v>0</v>
      </c>
      <c r="F24" s="83">
        <f>'Summary YTD 08.31.18'!F48+'Summary YTD 08.31.18'!F49+'Summary YTD 08.31.18'!F50+'Summary YTD 08.31.18'!F51</f>
        <v>17913.63</v>
      </c>
      <c r="G24" s="83">
        <f>'Summary YTD 08.31.18'!G48+'Summary YTD 08.31.18'!G49+'Summary YTD 08.31.18'!G50+'Summary YTD 08.31.18'!G51</f>
        <v>0</v>
      </c>
      <c r="H24" s="83">
        <f>'Summary YTD 08.31.18'!H48+'Summary YTD 08.31.18'!H49+'Summary YTD 08.31.18'!H50+'Summary YTD 08.31.18'!H51</f>
        <v>0</v>
      </c>
      <c r="I24" s="83">
        <f>SUM(B24:H24)</f>
        <v>179333.37</v>
      </c>
      <c r="L24" s="81"/>
    </row>
    <row r="25" spans="1:12" s="79" customFormat="1" ht="30" customHeight="1" x14ac:dyDescent="0.3">
      <c r="A25" s="79" t="s">
        <v>241</v>
      </c>
      <c r="B25" s="83">
        <f>'Summary YTD 08.31.18'!B52</f>
        <v>70418.500000000015</v>
      </c>
      <c r="C25" s="83">
        <f>'Summary YTD 08.31.18'!C52</f>
        <v>0</v>
      </c>
      <c r="D25" s="83">
        <f>'Summary YTD 08.31.18'!D52</f>
        <v>42856.180000000008</v>
      </c>
      <c r="E25" s="83">
        <f>'Summary YTD 08.31.18'!E52</f>
        <v>0</v>
      </c>
      <c r="F25" s="83">
        <f>'Summary YTD 08.31.18'!F52</f>
        <v>486.66999999999996</v>
      </c>
      <c r="G25" s="83">
        <f>'Summary YTD 08.31.18'!G52</f>
        <v>0</v>
      </c>
      <c r="H25" s="83">
        <f>'Summary YTD 08.31.18'!H52</f>
        <v>0</v>
      </c>
      <c r="I25" s="83">
        <f t="shared" si="2"/>
        <v>113761.35000000002</v>
      </c>
      <c r="L25" s="81"/>
    </row>
    <row r="26" spans="1:12" s="79" customFormat="1" ht="30" customHeight="1" x14ac:dyDescent="0.3">
      <c r="A26" s="79" t="s">
        <v>242</v>
      </c>
      <c r="B26" s="83">
        <f>'Summary YTD 08.31.18'!B53</f>
        <v>29000</v>
      </c>
      <c r="C26" s="83">
        <f>'Summary YTD 08.31.18'!C53</f>
        <v>0</v>
      </c>
      <c r="D26" s="83">
        <f>'Summary YTD 08.31.18'!D53</f>
        <v>11202.26</v>
      </c>
      <c r="E26" s="83">
        <f>'Summary YTD 08.31.18'!E53</f>
        <v>0</v>
      </c>
      <c r="F26" s="83">
        <f>'Summary YTD 08.31.18'!F53</f>
        <v>0</v>
      </c>
      <c r="G26" s="83">
        <f>'Summary YTD 08.31.18'!G53</f>
        <v>0</v>
      </c>
      <c r="H26" s="83">
        <f>'Summary YTD 08.31.18'!H53</f>
        <v>0</v>
      </c>
      <c r="I26" s="83">
        <f t="shared" si="2"/>
        <v>40202.26</v>
      </c>
      <c r="L26" s="81"/>
    </row>
    <row r="27" spans="1:12" s="79" customFormat="1" ht="30" customHeight="1" x14ac:dyDescent="0.3">
      <c r="A27" s="79" t="s">
        <v>240</v>
      </c>
      <c r="B27" s="83">
        <f>'Summary YTD 08.31.18'!B54</f>
        <v>40554.869999999995</v>
      </c>
      <c r="C27" s="83">
        <f>'Summary YTD 08.31.18'!C54</f>
        <v>0</v>
      </c>
      <c r="D27" s="83">
        <f>'Summary YTD 08.31.18'!D54</f>
        <v>131014.56999999999</v>
      </c>
      <c r="E27" s="83">
        <f>'Summary YTD 08.31.18'!E54</f>
        <v>0</v>
      </c>
      <c r="F27" s="83">
        <f>'Summary YTD 08.31.18'!F54</f>
        <v>19394</v>
      </c>
      <c r="G27" s="83">
        <f>'Summary YTD 08.31.18'!G54</f>
        <v>0</v>
      </c>
      <c r="H27" s="83">
        <f>'Summary YTD 08.31.18'!H54</f>
        <v>0</v>
      </c>
      <c r="I27" s="83">
        <f t="shared" si="2"/>
        <v>190963.44</v>
      </c>
      <c r="L27" s="81"/>
    </row>
    <row r="28" spans="1:12" s="79" customFormat="1" ht="30" customHeight="1" x14ac:dyDescent="0.3">
      <c r="A28" s="79" t="s">
        <v>361</v>
      </c>
      <c r="B28" s="83">
        <f>'Summary YTD 08.31.18'!B55</f>
        <v>570</v>
      </c>
      <c r="C28" s="83">
        <f>'Summary YTD 08.31.18'!C55</f>
        <v>288.94000000000005</v>
      </c>
      <c r="D28" s="83">
        <f>'Summary YTD 08.31.18'!D55</f>
        <v>449</v>
      </c>
      <c r="E28" s="83">
        <f>'Summary YTD 08.31.18'!E55</f>
        <v>0</v>
      </c>
      <c r="F28" s="83">
        <f>'Summary YTD 08.31.18'!F55</f>
        <v>865</v>
      </c>
      <c r="G28" s="83">
        <f>'Summary YTD 08.31.18'!G55</f>
        <v>520</v>
      </c>
      <c r="H28" s="83">
        <f>'Summary YTD 08.31.18'!H55</f>
        <v>520</v>
      </c>
      <c r="I28" s="83">
        <f t="shared" si="2"/>
        <v>3212.94</v>
      </c>
      <c r="L28" s="81"/>
    </row>
    <row r="29" spans="1:12" s="79" customFormat="1" ht="30" customHeight="1" x14ac:dyDescent="0.3">
      <c r="A29" s="79" t="s">
        <v>243</v>
      </c>
      <c r="B29" s="83">
        <f>'Summary YTD 08.31.18'!B57+'Summary YTD 08.31.18'!B56</f>
        <v>14393.95</v>
      </c>
      <c r="C29" s="83">
        <f>'Summary YTD 08.31.18'!C57+'Summary YTD 08.31.18'!C56</f>
        <v>0</v>
      </c>
      <c r="D29" s="83">
        <f>'Summary YTD 08.31.18'!D57+'Summary YTD 08.31.18'!D56</f>
        <v>152.47</v>
      </c>
      <c r="E29" s="83">
        <f>'Summary YTD 08.31.18'!E57+'Summary YTD 08.31.18'!E56</f>
        <v>0</v>
      </c>
      <c r="F29" s="83">
        <f>'Summary YTD 08.31.18'!F57+'Summary YTD 08.31.18'!F56</f>
        <v>14442.28</v>
      </c>
      <c r="G29" s="83">
        <f>'Summary YTD 08.31.18'!G57+'Summary YTD 08.31.18'!G56</f>
        <v>0</v>
      </c>
      <c r="H29" s="83">
        <f>'Summary YTD 08.31.18'!H57+'Summary YTD 08.31.18'!H56</f>
        <v>0</v>
      </c>
      <c r="I29" s="83">
        <f t="shared" si="2"/>
        <v>28988.7</v>
      </c>
      <c r="L29" s="81"/>
    </row>
    <row r="30" spans="1:12" s="79" customFormat="1" ht="30" customHeight="1" x14ac:dyDescent="0.3">
      <c r="A30" s="79" t="s">
        <v>244</v>
      </c>
      <c r="B30" s="83">
        <f>'Summary YTD 08.31.18'!B58</f>
        <v>6188.73</v>
      </c>
      <c r="C30" s="83">
        <f>'Summary YTD 08.31.18'!C58</f>
        <v>0</v>
      </c>
      <c r="D30" s="83">
        <f>'Summary YTD 08.31.18'!D58</f>
        <v>3069.8599999999997</v>
      </c>
      <c r="E30" s="83">
        <f>'Summary YTD 08.31.18'!E58</f>
        <v>0</v>
      </c>
      <c r="F30" s="83">
        <f>'Summary YTD 08.31.18'!F58</f>
        <v>0</v>
      </c>
      <c r="G30" s="83">
        <f>'Summary YTD 08.31.18'!G58</f>
        <v>0</v>
      </c>
      <c r="H30" s="83">
        <f>'Summary YTD 08.31.18'!H58</f>
        <v>0</v>
      </c>
      <c r="I30" s="83">
        <f t="shared" si="2"/>
        <v>9258.59</v>
      </c>
      <c r="L30" s="81"/>
    </row>
    <row r="31" spans="1:12" s="79" customFormat="1" ht="30" customHeight="1" x14ac:dyDescent="0.3">
      <c r="A31" s="79" t="s">
        <v>246</v>
      </c>
      <c r="B31" s="83">
        <f>'Summary YTD 08.31.18'!B60</f>
        <v>1006713.4</v>
      </c>
      <c r="C31" s="83">
        <f>'Summary YTD 08.31.18'!C60</f>
        <v>3070.45</v>
      </c>
      <c r="D31" s="83">
        <f>'Summary YTD 08.31.18'!D60</f>
        <v>83611</v>
      </c>
      <c r="E31" s="83">
        <f>'Summary YTD 08.31.18'!E60</f>
        <v>0</v>
      </c>
      <c r="F31" s="83">
        <f>'Summary YTD 08.31.18'!F60</f>
        <v>75104.61</v>
      </c>
      <c r="G31" s="83">
        <f>'Summary YTD 08.31.18'!G60</f>
        <v>74010.160000000018</v>
      </c>
      <c r="H31" s="83">
        <f>'Summary YTD 08.31.18'!H60</f>
        <v>117567.64</v>
      </c>
      <c r="I31" s="83">
        <f t="shared" si="2"/>
        <v>1360077.26</v>
      </c>
      <c r="L31" s="81"/>
    </row>
    <row r="32" spans="1:12" s="79" customFormat="1" ht="30" customHeight="1" x14ac:dyDescent="0.3">
      <c r="A32" s="79" t="s">
        <v>245</v>
      </c>
      <c r="B32" s="83">
        <f>'Summary YTD 08.31.18'!B59</f>
        <v>2666.64</v>
      </c>
      <c r="C32" s="83">
        <f>'Summary YTD 08.31.18'!C59</f>
        <v>0</v>
      </c>
      <c r="D32" s="83">
        <f>'Summary YTD 08.31.18'!D59</f>
        <v>0</v>
      </c>
      <c r="E32" s="83">
        <f>'Summary YTD 08.31.18'!E59</f>
        <v>0</v>
      </c>
      <c r="F32" s="83">
        <f>'Summary YTD 08.31.18'!F59</f>
        <v>0</v>
      </c>
      <c r="G32" s="83">
        <f>'Summary YTD 08.31.18'!G59</f>
        <v>0</v>
      </c>
      <c r="H32" s="83">
        <f>'Summary YTD 08.31.18'!H59</f>
        <v>0</v>
      </c>
      <c r="I32" s="83">
        <f t="shared" si="2"/>
        <v>2666.64</v>
      </c>
      <c r="L32" s="81"/>
    </row>
    <row r="33" spans="1:12" s="79" customFormat="1" ht="30" customHeight="1" x14ac:dyDescent="0.3">
      <c r="A33" s="79" t="s">
        <v>256</v>
      </c>
      <c r="B33" s="83">
        <f>'Summary YTD 08.31.18'!B61</f>
        <v>1268.68</v>
      </c>
      <c r="C33" s="83">
        <f>'Summary YTD 08.31.18'!C61</f>
        <v>0</v>
      </c>
      <c r="D33" s="83">
        <f>'Summary YTD 08.31.18'!D61</f>
        <v>0</v>
      </c>
      <c r="E33" s="83">
        <f>'Summary YTD 08.31.18'!E61</f>
        <v>0</v>
      </c>
      <c r="F33" s="83">
        <f>'Summary YTD 08.31.18'!F61</f>
        <v>0</v>
      </c>
      <c r="G33" s="83">
        <f>'Summary YTD 08.31.18'!G61</f>
        <v>0</v>
      </c>
      <c r="H33" s="83">
        <f>'Summary YTD 08.31.18'!H61</f>
        <v>0</v>
      </c>
      <c r="I33" s="83">
        <f t="shared" si="2"/>
        <v>1268.68</v>
      </c>
      <c r="L33" s="81"/>
    </row>
    <row r="34" spans="1:12" s="79" customFormat="1" ht="30" customHeight="1" x14ac:dyDescent="0.3">
      <c r="A34" s="79" t="s">
        <v>250</v>
      </c>
      <c r="B34" s="83">
        <f>'Summary YTD 08.31.18'!B63</f>
        <v>109587.13999999998</v>
      </c>
      <c r="C34" s="83">
        <f>'Summary YTD 08.31.18'!C63</f>
        <v>0</v>
      </c>
      <c r="D34" s="83">
        <f>'Summary YTD 08.31.18'!D63</f>
        <v>58040.659999999996</v>
      </c>
      <c r="E34" s="83">
        <f>'Summary YTD 08.31.18'!E63</f>
        <v>0</v>
      </c>
      <c r="F34" s="83">
        <f>'Summary YTD 08.31.18'!F63</f>
        <v>0</v>
      </c>
      <c r="G34" s="83">
        <f>'Summary YTD 08.31.18'!G63</f>
        <v>0</v>
      </c>
      <c r="H34" s="83">
        <f>'Summary YTD 08.31.18'!H63</f>
        <v>0</v>
      </c>
      <c r="I34" s="83">
        <f t="shared" si="2"/>
        <v>167627.79999999999</v>
      </c>
      <c r="L34" s="81"/>
    </row>
    <row r="35" spans="1:12" s="79" customFormat="1" ht="30" customHeight="1" x14ac:dyDescent="0.3">
      <c r="A35" s="79" t="s">
        <v>420</v>
      </c>
      <c r="B35" s="83">
        <f>'Summary YTD 08.31.18'!B62+'Summary YTD 08.31.18'!B64+'Summary YTD 08.31.18'!B65</f>
        <v>46186.399999999994</v>
      </c>
      <c r="C35" s="83">
        <f>'Summary YTD 08.31.18'!C62+'Summary YTD 08.31.18'!C64+'Summary YTD 08.31.18'!C65</f>
        <v>4720.28</v>
      </c>
      <c r="D35" s="83">
        <f>'Summary YTD 08.31.18'!D62+'Summary YTD 08.31.18'!D64+'Summary YTD 08.31.18'!D65</f>
        <v>25784.719999999998</v>
      </c>
      <c r="E35" s="83">
        <f>'Summary YTD 08.31.18'!E62+'Summary YTD 08.31.18'!E64+'Summary YTD 08.31.18'!E65</f>
        <v>0</v>
      </c>
      <c r="F35" s="83">
        <f>'Summary YTD 08.31.18'!F62+'Summary YTD 08.31.18'!F64+'Summary YTD 08.31.18'!F65</f>
        <v>7108.03</v>
      </c>
      <c r="G35" s="83">
        <f>'Summary YTD 08.31.18'!G62+'Summary YTD 08.31.18'!G64+'Summary YTD 08.31.18'!G65</f>
        <v>0</v>
      </c>
      <c r="H35" s="83">
        <f>'Summary YTD 08.31.18'!H62+'Summary YTD 08.31.18'!H64+'Summary YTD 08.31.18'!H65</f>
        <v>0</v>
      </c>
      <c r="I35" s="83">
        <f t="shared" si="2"/>
        <v>83799.429999999993</v>
      </c>
      <c r="L35" s="81"/>
    </row>
    <row r="36" spans="1:12" s="79" customFormat="1" ht="30" customHeight="1" x14ac:dyDescent="0.3">
      <c r="A36" s="82" t="s">
        <v>251</v>
      </c>
      <c r="B36" s="84">
        <f t="shared" ref="B36:H36" si="3">SUM(B22:B35)</f>
        <v>1725215.9999999998</v>
      </c>
      <c r="C36" s="84">
        <f t="shared" si="3"/>
        <v>10799.4</v>
      </c>
      <c r="D36" s="84">
        <f t="shared" si="3"/>
        <v>757168.6</v>
      </c>
      <c r="E36" s="84">
        <f t="shared" si="3"/>
        <v>0</v>
      </c>
      <c r="F36" s="84">
        <f t="shared" si="3"/>
        <v>209332.35</v>
      </c>
      <c r="G36" s="84">
        <f t="shared" si="3"/>
        <v>74530.160000000018</v>
      </c>
      <c r="H36" s="84">
        <f t="shared" si="3"/>
        <v>118087.64</v>
      </c>
      <c r="I36" s="84">
        <f>SUM(B36:H36)</f>
        <v>2895134.15</v>
      </c>
      <c r="L36" s="81"/>
    </row>
    <row r="37" spans="1:12" s="79" customFormat="1" ht="30" customHeight="1" x14ac:dyDescent="0.3">
      <c r="B37" s="83"/>
      <c r="C37" s="83"/>
      <c r="D37" s="83"/>
      <c r="E37" s="83"/>
      <c r="F37" s="83"/>
      <c r="G37" s="83"/>
      <c r="H37" s="83"/>
      <c r="I37" s="83">
        <f>SUM(B37:F37)</f>
        <v>0</v>
      </c>
      <c r="L37" s="81"/>
    </row>
    <row r="38" spans="1:12" s="79" customFormat="1" ht="30" customHeight="1" x14ac:dyDescent="0.3">
      <c r="A38" s="82" t="s">
        <v>252</v>
      </c>
      <c r="B38" s="83"/>
      <c r="C38" s="83"/>
      <c r="D38" s="83"/>
      <c r="E38" s="83"/>
      <c r="F38" s="83"/>
      <c r="G38" s="83"/>
      <c r="H38" s="83"/>
      <c r="I38" s="83">
        <f>SUM(B38:F38)</f>
        <v>0</v>
      </c>
      <c r="L38" s="81"/>
    </row>
    <row r="39" spans="1:12" s="79" customFormat="1" ht="30" customHeight="1" x14ac:dyDescent="0.3">
      <c r="A39" s="79" t="s">
        <v>253</v>
      </c>
      <c r="B39" s="83">
        <f>'Summary YTD 08.31.18'!B69</f>
        <v>7245.54</v>
      </c>
      <c r="C39" s="83">
        <f>'Summary YTD 08.31.18'!C69</f>
        <v>0</v>
      </c>
      <c r="D39" s="83">
        <f>'Summary YTD 08.31.18'!D69</f>
        <v>1279.46</v>
      </c>
      <c r="E39" s="83">
        <f>'Summary YTD 08.31.18'!E69</f>
        <v>0</v>
      </c>
      <c r="F39" s="83">
        <f>'Summary YTD 08.31.18'!F69</f>
        <v>2726.38</v>
      </c>
      <c r="G39" s="83">
        <f>'Summary YTD 08.31.18'!G69</f>
        <v>0</v>
      </c>
      <c r="H39" s="83">
        <f>'Summary YTD 08.31.18'!H69</f>
        <v>0</v>
      </c>
      <c r="I39" s="83">
        <f>SUM(B39:H39)</f>
        <v>11251.380000000001</v>
      </c>
      <c r="L39" s="81"/>
    </row>
    <row r="40" spans="1:12" s="79" customFormat="1" ht="30" customHeight="1" x14ac:dyDescent="0.3">
      <c r="A40" s="79" t="s">
        <v>254</v>
      </c>
      <c r="B40" s="83">
        <f>'Summary YTD 08.31.18'!B70</f>
        <v>80024.009999999995</v>
      </c>
      <c r="C40" s="83">
        <f>'Summary YTD 08.31.18'!C70</f>
        <v>7175.02</v>
      </c>
      <c r="D40" s="83">
        <f>'Summary YTD 08.31.18'!D70</f>
        <v>5829.22</v>
      </c>
      <c r="E40" s="83">
        <f>'Summary YTD 08.31.18'!E70</f>
        <v>1647.2000000000003</v>
      </c>
      <c r="F40" s="83">
        <f>'Summary YTD 08.31.18'!F70</f>
        <v>2107.6899999999996</v>
      </c>
      <c r="G40" s="83">
        <f>'Summary YTD 08.31.18'!G70</f>
        <v>0</v>
      </c>
      <c r="H40" s="83">
        <f>'Summary YTD 08.31.18'!H70</f>
        <v>622.5100000000001</v>
      </c>
      <c r="I40" s="83">
        <f t="shared" ref="I40:I50" si="4">SUM(B40:H40)</f>
        <v>97405.65</v>
      </c>
      <c r="L40" s="81"/>
    </row>
    <row r="41" spans="1:12" s="79" customFormat="1" ht="30" customHeight="1" x14ac:dyDescent="0.3">
      <c r="A41" s="79" t="s">
        <v>368</v>
      </c>
      <c r="B41" s="83">
        <f>'Summary YTD 08.31.18'!B71</f>
        <v>0</v>
      </c>
      <c r="C41" s="83">
        <f>'Summary YTD 08.31.18'!C71</f>
        <v>0</v>
      </c>
      <c r="D41" s="83">
        <f>'Summary YTD 08.31.18'!D71</f>
        <v>0</v>
      </c>
      <c r="E41" s="83">
        <f>'Summary YTD 08.31.18'!E71</f>
        <v>0</v>
      </c>
      <c r="F41" s="83">
        <f>'Summary YTD 08.31.18'!F71</f>
        <v>3298.6400000000003</v>
      </c>
      <c r="G41" s="83">
        <f>'Summary YTD 08.31.18'!G71</f>
        <v>0</v>
      </c>
      <c r="H41" s="83">
        <f>'Summary YTD 08.31.18'!H71</f>
        <v>0</v>
      </c>
      <c r="I41" s="83">
        <f t="shared" si="4"/>
        <v>3298.6400000000003</v>
      </c>
      <c r="L41" s="81"/>
    </row>
    <row r="42" spans="1:12" s="79" customFormat="1" ht="30" customHeight="1" x14ac:dyDescent="0.3">
      <c r="A42" s="79" t="s">
        <v>255</v>
      </c>
      <c r="B42" s="83">
        <f>'Summary YTD 08.31.18'!B72</f>
        <v>3809.0299999999997</v>
      </c>
      <c r="C42" s="83">
        <f>'Summary YTD 08.31.18'!C72</f>
        <v>0</v>
      </c>
      <c r="D42" s="83">
        <f>'Summary YTD 08.31.18'!D72</f>
        <v>0</v>
      </c>
      <c r="E42" s="83">
        <f>'Summary YTD 08.31.18'!E72</f>
        <v>109</v>
      </c>
      <c r="F42" s="83">
        <f>'Summary YTD 08.31.18'!F72</f>
        <v>988.30000000000007</v>
      </c>
      <c r="G42" s="83">
        <f>'Summary YTD 08.31.18'!G72</f>
        <v>0</v>
      </c>
      <c r="H42" s="83">
        <f>'Summary YTD 08.31.18'!H72</f>
        <v>0</v>
      </c>
      <c r="I42" s="83">
        <f t="shared" si="4"/>
        <v>4906.33</v>
      </c>
      <c r="L42" s="81"/>
    </row>
    <row r="43" spans="1:12" s="79" customFormat="1" ht="30" customHeight="1" x14ac:dyDescent="0.3">
      <c r="A43" s="79" t="s">
        <v>508</v>
      </c>
      <c r="B43" s="83">
        <f>'Summary YTD 08.31.18'!B73+'Summary YTD 08.31.18'!B74+'Summary YTD 08.31.18'!B75+'Summary YTD 08.31.18'!B76+'Summary YTD 08.31.18'!B77</f>
        <v>371877.72000000003</v>
      </c>
      <c r="C43" s="83">
        <f>'Summary YTD 08.31.18'!C73+'Summary YTD 08.31.18'!C74+'Summary YTD 08.31.18'!C75+'Summary YTD 08.31.18'!C76+'Summary YTD 08.31.18'!C77</f>
        <v>51000</v>
      </c>
      <c r="D43" s="83">
        <f>'Summary YTD 08.31.18'!D73+'Summary YTD 08.31.18'!D74+'Summary YTD 08.31.18'!D75+'Summary YTD 08.31.18'!D76+'Summary YTD 08.31.18'!D77</f>
        <v>51181.79</v>
      </c>
      <c r="E43" s="83">
        <f>'Summary YTD 08.31.18'!E73+'Summary YTD 08.31.18'!E74+'Summary YTD 08.31.18'!E75+'Summary YTD 08.31.18'!E76+'Summary YTD 08.31.18'!E77</f>
        <v>-8538.34</v>
      </c>
      <c r="F43" s="83">
        <f>'Summary YTD 08.31.18'!F73+'Summary YTD 08.31.18'!F74+'Summary YTD 08.31.18'!F75+'Summary YTD 08.31.18'!F76+'Summary YTD 08.31.18'!F77</f>
        <v>15875</v>
      </c>
      <c r="G43" s="83">
        <f>'Summary YTD 08.31.18'!G73+'Summary YTD 08.31.18'!G74+'Summary YTD 08.31.18'!G75+'Summary YTD 08.31.18'!G76+'Summary YTD 08.31.18'!G77</f>
        <v>2385</v>
      </c>
      <c r="H43" s="83">
        <f>'Summary YTD 08.31.18'!H73+'Summary YTD 08.31.18'!H74+'Summary YTD 08.31.18'!H75+'Summary YTD 08.31.18'!H76+'Summary YTD 08.31.18'!H77</f>
        <v>0</v>
      </c>
      <c r="I43" s="83">
        <f t="shared" si="4"/>
        <v>483781.17</v>
      </c>
      <c r="L43" s="81"/>
    </row>
    <row r="44" spans="1:12" s="79" customFormat="1" ht="30" customHeight="1" x14ac:dyDescent="0.3">
      <c r="A44" s="79" t="s">
        <v>257</v>
      </c>
      <c r="B44" s="83">
        <f>'Summary YTD 08.31.18'!B78</f>
        <v>35495.100000000006</v>
      </c>
      <c r="C44" s="83">
        <f>'Summary YTD 08.31.18'!C78</f>
        <v>0</v>
      </c>
      <c r="D44" s="83">
        <f>'Summary YTD 08.31.18'!D78</f>
        <v>9250</v>
      </c>
      <c r="E44" s="83">
        <f>'Summary YTD 08.31.18'!E78</f>
        <v>0</v>
      </c>
      <c r="F44" s="83">
        <f>'Summary YTD 08.31.18'!F78</f>
        <v>1195.2899999999997</v>
      </c>
      <c r="G44" s="83">
        <f>'Summary YTD 08.31.18'!G78</f>
        <v>0</v>
      </c>
      <c r="H44" s="83">
        <f>'Summary YTD 08.31.18'!H78</f>
        <v>0</v>
      </c>
      <c r="I44" s="83">
        <f t="shared" si="4"/>
        <v>45940.390000000007</v>
      </c>
      <c r="L44" s="81"/>
    </row>
    <row r="45" spans="1:12" s="79" customFormat="1" ht="30" customHeight="1" x14ac:dyDescent="0.3">
      <c r="A45" s="79" t="s">
        <v>258</v>
      </c>
      <c r="B45" s="83">
        <f>'Summary YTD 08.31.18'!B79</f>
        <v>25787.079999999998</v>
      </c>
      <c r="C45" s="83">
        <f>'Summary YTD 08.31.18'!C79</f>
        <v>912.49</v>
      </c>
      <c r="D45" s="83">
        <f>'Summary YTD 08.31.18'!D79</f>
        <v>2477.5</v>
      </c>
      <c r="E45" s="83">
        <f>'Summary YTD 08.31.18'!E79</f>
        <v>0</v>
      </c>
      <c r="F45" s="83">
        <f>'Summary YTD 08.31.18'!F79</f>
        <v>642</v>
      </c>
      <c r="G45" s="83">
        <f>'Summary YTD 08.31.18'!G79</f>
        <v>0</v>
      </c>
      <c r="H45" s="83">
        <f>'Summary YTD 08.31.18'!H79</f>
        <v>0</v>
      </c>
      <c r="I45" s="83">
        <f t="shared" si="4"/>
        <v>29819.07</v>
      </c>
      <c r="L45" s="81"/>
    </row>
    <row r="46" spans="1:12" s="79" customFormat="1" ht="30" customHeight="1" x14ac:dyDescent="0.3">
      <c r="A46" s="79" t="s">
        <v>259</v>
      </c>
      <c r="B46" s="83">
        <f>'Summary YTD 08.31.18'!B80</f>
        <v>21462.45</v>
      </c>
      <c r="C46" s="83">
        <f>'Summary YTD 08.31.18'!C80</f>
        <v>0</v>
      </c>
      <c r="D46" s="83">
        <f>'Summary YTD 08.31.18'!D80</f>
        <v>0</v>
      </c>
      <c r="E46" s="83">
        <f>'Summary YTD 08.31.18'!E80</f>
        <v>0</v>
      </c>
      <c r="F46" s="83">
        <f>'Summary YTD 08.31.18'!F80</f>
        <v>0</v>
      </c>
      <c r="G46" s="83">
        <f>'Summary YTD 08.31.18'!G80</f>
        <v>0</v>
      </c>
      <c r="H46" s="83">
        <f>'Summary YTD 08.31.18'!H80</f>
        <v>0</v>
      </c>
      <c r="I46" s="83">
        <f t="shared" si="4"/>
        <v>21462.45</v>
      </c>
      <c r="L46" s="81"/>
    </row>
    <row r="47" spans="1:12" s="79" customFormat="1" ht="30" customHeight="1" x14ac:dyDescent="0.3">
      <c r="A47" s="79" t="s">
        <v>298</v>
      </c>
      <c r="B47" s="83">
        <f>'Summary YTD 08.31.18'!B81</f>
        <v>0</v>
      </c>
      <c r="C47" s="83">
        <f>'Summary YTD 08.31.18'!C81</f>
        <v>0</v>
      </c>
      <c r="D47" s="83">
        <f>'Summary YTD 08.31.18'!D81</f>
        <v>300</v>
      </c>
      <c r="E47" s="83">
        <f>'Summary YTD 08.31.18'!E81</f>
        <v>0</v>
      </c>
      <c r="F47" s="83">
        <f>'Summary YTD 08.31.18'!F81</f>
        <v>2600</v>
      </c>
      <c r="G47" s="83">
        <f>'Summary YTD 08.31.18'!G81</f>
        <v>0</v>
      </c>
      <c r="H47" s="83">
        <f>'Summary YTD 08.31.18'!H81</f>
        <v>0</v>
      </c>
      <c r="I47" s="83">
        <f t="shared" si="4"/>
        <v>2900</v>
      </c>
      <c r="L47" s="81"/>
    </row>
    <row r="48" spans="1:12" s="79" customFormat="1" ht="30" customHeight="1" x14ac:dyDescent="0.3">
      <c r="A48" s="79" t="s">
        <v>383</v>
      </c>
      <c r="B48" s="83">
        <f>'Summary YTD 08.31.18'!B82</f>
        <v>290.73</v>
      </c>
      <c r="C48" s="83">
        <v>0</v>
      </c>
      <c r="D48" s="83">
        <v>0</v>
      </c>
      <c r="E48" s="83">
        <v>0</v>
      </c>
      <c r="F48" s="83">
        <f>'BSC (Dome)'!J64</f>
        <v>10329.9</v>
      </c>
      <c r="G48" s="83">
        <v>0</v>
      </c>
      <c r="H48" s="83">
        <f>'BSC (Dome)'!K64</f>
        <v>0</v>
      </c>
      <c r="I48" s="83">
        <f t="shared" si="4"/>
        <v>10620.63</v>
      </c>
      <c r="L48" s="81"/>
    </row>
    <row r="49" spans="1:12" s="79" customFormat="1" ht="30" customHeight="1" x14ac:dyDescent="0.3">
      <c r="A49" s="79" t="s">
        <v>421</v>
      </c>
      <c r="B49" s="83">
        <f>'Summary YTD 08.31.18'!B83+'Summary YTD 08.31.18'!B84</f>
        <v>35743.24</v>
      </c>
      <c r="C49" s="83">
        <f>'Summary YTD 08.31.18'!C83+'Summary YTD 08.31.18'!C84</f>
        <v>0</v>
      </c>
      <c r="D49" s="83">
        <f>'Summary YTD 08.31.18'!D83+'Summary YTD 08.31.18'!D84</f>
        <v>0</v>
      </c>
      <c r="E49" s="83">
        <f>'Summary YTD 08.31.18'!E83+'Summary YTD 08.31.18'!E84</f>
        <v>0</v>
      </c>
      <c r="F49" s="83">
        <f>'Summary YTD 08.31.18'!F83+'Summary YTD 08.31.18'!F84</f>
        <v>0</v>
      </c>
      <c r="G49" s="83">
        <f>'Summary YTD 08.31.18'!G83+'Summary YTD 08.31.18'!G84</f>
        <v>0</v>
      </c>
      <c r="H49" s="83">
        <f>'Summary YTD 08.31.18'!H83+'Summary YTD 08.31.18'!H84</f>
        <v>0</v>
      </c>
      <c r="I49" s="83">
        <f t="shared" si="4"/>
        <v>35743.24</v>
      </c>
      <c r="L49" s="81"/>
    </row>
    <row r="50" spans="1:12" s="79" customFormat="1" ht="30" customHeight="1" x14ac:dyDescent="0.3">
      <c r="A50" s="79" t="s">
        <v>262</v>
      </c>
      <c r="B50" s="83">
        <f>'Summary YTD 08.31.18'!B85+'Summary YTD 08.31.18'!B86</f>
        <v>20973.9</v>
      </c>
      <c r="C50" s="83">
        <f>'Summary YTD 08.31.18'!C85+'Summary YTD 08.31.18'!C86</f>
        <v>0</v>
      </c>
      <c r="D50" s="83">
        <f>'Summary YTD 08.31.18'!D85+'Summary YTD 08.31.18'!D86</f>
        <v>0</v>
      </c>
      <c r="E50" s="83">
        <f>'Summary YTD 08.31.18'!E85+'Summary YTD 08.31.18'!E86</f>
        <v>0</v>
      </c>
      <c r="F50" s="83">
        <f>'Summary YTD 08.31.18'!F85+'Summary YTD 08.31.18'!F86</f>
        <v>0</v>
      </c>
      <c r="G50" s="83">
        <f>'Summary YTD 08.31.18'!G85+'Summary YTD 08.31.18'!G86</f>
        <v>0</v>
      </c>
      <c r="H50" s="83">
        <f>'Summary YTD 08.31.18'!H85+'Summary YTD 08.31.18'!H86</f>
        <v>0</v>
      </c>
      <c r="I50" s="83">
        <f t="shared" si="4"/>
        <v>20973.9</v>
      </c>
      <c r="L50" s="81"/>
    </row>
    <row r="51" spans="1:12" s="79" customFormat="1" ht="30" customHeight="1" x14ac:dyDescent="0.3">
      <c r="A51" s="82" t="s">
        <v>265</v>
      </c>
      <c r="B51" s="84">
        <f t="shared" ref="B51:H51" si="5">SUM(B39:B50)</f>
        <v>602708.80000000005</v>
      </c>
      <c r="C51" s="84">
        <f t="shared" si="5"/>
        <v>59087.51</v>
      </c>
      <c r="D51" s="84">
        <f t="shared" si="5"/>
        <v>70317.97</v>
      </c>
      <c r="E51" s="84">
        <f t="shared" si="5"/>
        <v>-6782.1399999999994</v>
      </c>
      <c r="F51" s="84">
        <f t="shared" si="5"/>
        <v>39763.200000000004</v>
      </c>
      <c r="G51" s="84">
        <f t="shared" si="5"/>
        <v>2385</v>
      </c>
      <c r="H51" s="84">
        <f t="shared" si="5"/>
        <v>622.5100000000001</v>
      </c>
      <c r="I51" s="84">
        <f>SUM(B51:H51)</f>
        <v>768102.85</v>
      </c>
      <c r="L51" s="81"/>
    </row>
    <row r="52" spans="1:12" s="79" customFormat="1" ht="30" customHeight="1" x14ac:dyDescent="0.3">
      <c r="B52" s="83"/>
      <c r="C52" s="83"/>
      <c r="D52" s="83"/>
      <c r="E52" s="83"/>
      <c r="F52" s="83"/>
      <c r="G52" s="83"/>
      <c r="H52" s="83"/>
      <c r="I52" s="83">
        <f>SUM(B52:F52)</f>
        <v>0</v>
      </c>
      <c r="L52" s="81"/>
    </row>
    <row r="53" spans="1:12" s="79" customFormat="1" ht="30" customHeight="1" thickBot="1" x14ac:dyDescent="0.35">
      <c r="A53" s="82" t="s">
        <v>266</v>
      </c>
      <c r="B53" s="85">
        <f t="shared" ref="B53:H53" si="6">B19+B36+B51</f>
        <v>5445805.2199999997</v>
      </c>
      <c r="C53" s="85">
        <f t="shared" si="6"/>
        <v>69886.91</v>
      </c>
      <c r="D53" s="85">
        <f t="shared" si="6"/>
        <v>935085.87</v>
      </c>
      <c r="E53" s="85">
        <f t="shared" si="6"/>
        <v>-6782.1399999999994</v>
      </c>
      <c r="F53" s="85">
        <f t="shared" si="6"/>
        <v>522658.07</v>
      </c>
      <c r="G53" s="85">
        <f>G19+G36+G51</f>
        <v>76915.160000000018</v>
      </c>
      <c r="H53" s="85">
        <f t="shared" si="6"/>
        <v>118710.15</v>
      </c>
      <c r="I53" s="85">
        <f>SUM(B53:H53)</f>
        <v>7162279.2400000012</v>
      </c>
      <c r="L53" s="81"/>
    </row>
    <row r="54" spans="1:12" s="79" customFormat="1" ht="30" customHeight="1" x14ac:dyDescent="0.3">
      <c r="B54" s="83"/>
      <c r="C54" s="83"/>
      <c r="D54" s="83"/>
      <c r="E54" s="83"/>
      <c r="F54" s="83"/>
      <c r="G54" s="83"/>
      <c r="H54" s="83"/>
      <c r="I54" s="83"/>
      <c r="L54" s="81"/>
    </row>
    <row r="55" spans="1:12" s="79" customFormat="1" ht="30" customHeight="1" x14ac:dyDescent="0.3">
      <c r="A55" s="82" t="s">
        <v>276</v>
      </c>
      <c r="B55" s="83"/>
      <c r="C55" s="83"/>
      <c r="D55" s="83"/>
      <c r="E55" s="83"/>
      <c r="F55" s="83"/>
      <c r="G55" s="83"/>
      <c r="H55" s="83"/>
      <c r="I55" s="83"/>
      <c r="L55" s="81"/>
    </row>
    <row r="56" spans="1:12" s="79" customFormat="1" ht="30" customHeight="1" x14ac:dyDescent="0.3">
      <c r="A56" s="79" t="s">
        <v>269</v>
      </c>
      <c r="B56" s="83">
        <f>'Summary YTD 08.31.18'!B92</f>
        <v>100000</v>
      </c>
      <c r="C56" s="83">
        <v>0</v>
      </c>
      <c r="D56" s="83">
        <f>DEP!J71</f>
        <v>100000</v>
      </c>
      <c r="E56" s="83">
        <v>0</v>
      </c>
      <c r="F56" s="83">
        <f>'BSC (Dome)'!J75+'BSC (Dome)'!J76</f>
        <v>44000</v>
      </c>
      <c r="G56" s="83">
        <f>'Summary YTD 08.31.18'!G92</f>
        <v>141600</v>
      </c>
      <c r="H56" s="83">
        <f>'722 Bedford St'!J22</f>
        <v>50000</v>
      </c>
      <c r="I56" s="83">
        <f t="shared" ref="I56:I61" si="7">SUM(B56:H56)</f>
        <v>435600</v>
      </c>
      <c r="L56" s="81"/>
    </row>
    <row r="57" spans="1:12" s="79" customFormat="1" ht="30" customHeight="1" x14ac:dyDescent="0.3">
      <c r="A57" s="79" t="s">
        <v>274</v>
      </c>
      <c r="B57" s="83">
        <f>'Summary YTD 08.31.18'!B93+'Summary YTD 08.31.18'!B95+'Summary YTD 08.31.18'!B96+'Summary YTD 08.31.18'!B99+'Summary YTD 08.31.18'!B100+'Summary YTD 08.31.18'!B103+'Summary YTD 08.31.18'!B101+'Summary YTD 08.31.18'!B102</f>
        <v>521083.48</v>
      </c>
      <c r="C57" s="83">
        <v>0</v>
      </c>
      <c r="D57" s="83">
        <f>'Summary YTD 08.31.18'!D93+'Summary YTD 08.31.18'!D95+'Summary YTD 08.31.18'!D96+'Summary YTD 08.31.18'!D99+'Summary YTD 08.31.18'!D100+'Summary YTD 08.31.18'!D103</f>
        <v>0</v>
      </c>
      <c r="E57" s="83">
        <f>'Summary YTD 08.31.18'!E93+'Summary YTD 08.31.18'!E95+'Summary YTD 08.31.18'!E96+'Summary YTD 08.31.18'!E99+'Summary YTD 08.31.18'!E100+'Summary YTD 08.31.18'!E103</f>
        <v>0</v>
      </c>
      <c r="F57" s="83">
        <f>'Summary YTD 08.31.18'!F93+'Summary YTD 08.31.18'!F95+'Summary YTD 08.31.18'!F96+'Summary YTD 08.31.18'!F99+'Summary YTD 08.31.18'!F100+'Summary YTD 08.31.18'!F103</f>
        <v>1833.08</v>
      </c>
      <c r="G57" s="83">
        <f>'Summary YTD 08.31.18'!G99</f>
        <v>1.01</v>
      </c>
      <c r="H57" s="83">
        <v>0</v>
      </c>
      <c r="I57" s="83">
        <f t="shared" si="7"/>
        <v>522917.57</v>
      </c>
      <c r="L57" s="81"/>
    </row>
    <row r="58" spans="1:12" s="79" customFormat="1" ht="30" customHeight="1" x14ac:dyDescent="0.3">
      <c r="A58" s="79" t="s">
        <v>272</v>
      </c>
      <c r="B58" s="83">
        <f>'Summary YTD 08.31.18'!B97</f>
        <v>153263.76</v>
      </c>
      <c r="C58" s="83">
        <f>'Summary YTD 08.31.18'!C97</f>
        <v>8319.7199999999993</v>
      </c>
      <c r="D58" s="83">
        <f>'Summary YTD 08.31.18'!D97</f>
        <v>21213.279999999999</v>
      </c>
      <c r="E58" s="83">
        <f>'Summary YTD 08.31.18'!E97</f>
        <v>35765.839999999997</v>
      </c>
      <c r="F58" s="83">
        <f>'Summary YTD 08.31.18'!F97</f>
        <v>0</v>
      </c>
      <c r="G58" s="83">
        <f>'Summary YTD 08.31.18'!G97</f>
        <v>29030.600000000002</v>
      </c>
      <c r="H58" s="83">
        <v>0</v>
      </c>
      <c r="I58" s="83">
        <f t="shared" si="7"/>
        <v>247593.2</v>
      </c>
      <c r="L58" s="81"/>
    </row>
    <row r="59" spans="1:12" s="79" customFormat="1" ht="30" customHeight="1" x14ac:dyDescent="0.3">
      <c r="A59" s="79" t="s">
        <v>273</v>
      </c>
      <c r="B59" s="83">
        <f>'Summary YTD 08.31.18'!B98</f>
        <v>-122661.04</v>
      </c>
      <c r="C59" s="83">
        <f>'Summary YTD 08.31.18'!C98</f>
        <v>0</v>
      </c>
      <c r="D59" s="83">
        <f>'Summary YTD 08.31.18'!D98</f>
        <v>0</v>
      </c>
      <c r="E59" s="83">
        <f>'Summary YTD 08.31.18'!E98</f>
        <v>-4470.42</v>
      </c>
      <c r="F59" s="83">
        <f>'Summary YTD 08.31.18'!F98</f>
        <v>-77500.28</v>
      </c>
      <c r="G59" s="83">
        <f>'Summary YTD 08.31.18'!G98</f>
        <v>-6887.4400000000005</v>
      </c>
      <c r="H59" s="83">
        <v>0</v>
      </c>
      <c r="I59" s="83">
        <f t="shared" si="7"/>
        <v>-211519.18</v>
      </c>
      <c r="L59" s="81"/>
    </row>
    <row r="60" spans="1:12" s="79" customFormat="1" ht="30" customHeight="1" x14ac:dyDescent="0.3">
      <c r="A60" s="79" t="s">
        <v>422</v>
      </c>
      <c r="B60" s="83">
        <f>'Summary YTD 08.31.18'!B94+'Summary YTD 08.31.18'!B104</f>
        <v>3098.28</v>
      </c>
      <c r="C60" s="83">
        <f>'Summary YTD 08.31.18'!C94+'Summary YTD 08.31.18'!C95</f>
        <v>-324608.16000000003</v>
      </c>
      <c r="D60" s="83">
        <f>'Summary YTD 08.31.18'!D94</f>
        <v>0</v>
      </c>
      <c r="E60" s="83">
        <f>'Summary YTD 08.31.18'!E94</f>
        <v>0</v>
      </c>
      <c r="F60" s="83">
        <f>'Summary YTD 08.31.18'!F94</f>
        <v>0</v>
      </c>
      <c r="G60" s="83">
        <f>'Summary YTD 08.31.18'!G94</f>
        <v>0</v>
      </c>
      <c r="H60" s="83">
        <v>0</v>
      </c>
      <c r="I60" s="83">
        <f>SUM(B60:H60)</f>
        <v>-321509.88</v>
      </c>
      <c r="L60" s="81"/>
    </row>
    <row r="61" spans="1:12" s="79" customFormat="1" ht="30" customHeight="1" x14ac:dyDescent="0.3">
      <c r="A61" s="82" t="s">
        <v>275</v>
      </c>
      <c r="B61" s="84">
        <f t="shared" ref="B61:H61" si="8">SUM(B56:B60)</f>
        <v>654784.48</v>
      </c>
      <c r="C61" s="84">
        <f t="shared" si="8"/>
        <v>-316288.44000000006</v>
      </c>
      <c r="D61" s="84">
        <f t="shared" si="8"/>
        <v>121213.28</v>
      </c>
      <c r="E61" s="84">
        <f t="shared" si="8"/>
        <v>31295.42</v>
      </c>
      <c r="F61" s="84">
        <f t="shared" si="8"/>
        <v>-31667.199999999997</v>
      </c>
      <c r="G61" s="84">
        <f t="shared" si="8"/>
        <v>163744.17000000001</v>
      </c>
      <c r="H61" s="84">
        <f t="shared" si="8"/>
        <v>50000</v>
      </c>
      <c r="I61" s="84">
        <f t="shared" si="7"/>
        <v>673081.71</v>
      </c>
      <c r="L61" s="81"/>
    </row>
    <row r="62" spans="1:12" s="79" customFormat="1" ht="30" customHeight="1" x14ac:dyDescent="0.3">
      <c r="A62" s="82"/>
      <c r="B62" s="83"/>
      <c r="C62" s="83"/>
      <c r="D62" s="83"/>
      <c r="E62" s="83"/>
      <c r="F62" s="83"/>
      <c r="G62" s="83"/>
      <c r="H62" s="83"/>
      <c r="I62" s="83">
        <f>SUM(B62:F62)</f>
        <v>0</v>
      </c>
      <c r="L62" s="81"/>
    </row>
    <row r="63" spans="1:12" s="79" customFormat="1" ht="30" customHeight="1" thickBot="1" x14ac:dyDescent="0.35">
      <c r="A63" s="82" t="s">
        <v>268</v>
      </c>
      <c r="B63" s="86">
        <f t="shared" ref="B63:H63" si="9">B11-B53+B61</f>
        <v>-556000.78999875998</v>
      </c>
      <c r="C63" s="86">
        <f t="shared" si="9"/>
        <v>434544.4300000011</v>
      </c>
      <c r="D63" s="86">
        <f t="shared" si="9"/>
        <v>620279.70999999985</v>
      </c>
      <c r="E63" s="86">
        <f t="shared" si="9"/>
        <v>38077.56</v>
      </c>
      <c r="F63" s="86">
        <f t="shared" si="9"/>
        <v>-16906.519999999888</v>
      </c>
      <c r="G63" s="86">
        <f>G11-G53+G61</f>
        <v>86829.01</v>
      </c>
      <c r="H63" s="86">
        <f t="shared" si="9"/>
        <v>-68710.149999999994</v>
      </c>
      <c r="I63" s="86">
        <f>SUM(B63:H63)</f>
        <v>538113.25000124099</v>
      </c>
      <c r="L63" s="81"/>
    </row>
    <row r="64" spans="1:12" ht="15.75" thickTop="1" x14ac:dyDescent="0.25">
      <c r="B64" s="50"/>
      <c r="C64" s="50"/>
      <c r="D64" s="50"/>
      <c r="E64" s="50"/>
      <c r="F64" s="50"/>
      <c r="G64" s="50"/>
      <c r="H64" s="50"/>
      <c r="I64" s="50"/>
    </row>
    <row r="66" spans="1:12" x14ac:dyDescent="0.25">
      <c r="A66" t="s">
        <v>335</v>
      </c>
      <c r="B66" s="48">
        <v>-556000.79000042868</v>
      </c>
      <c r="C66" s="101">
        <v>402281.97000000335</v>
      </c>
      <c r="D66" s="101">
        <v>503419.3</v>
      </c>
      <c r="E66" s="101">
        <v>17544.25</v>
      </c>
      <c r="F66" s="101">
        <v>18349.990000000078</v>
      </c>
      <c r="G66" s="101">
        <v>75939.939999999973</v>
      </c>
      <c r="H66" s="101">
        <f>'Summary YTD 08.31.18'!H110</f>
        <v>-78983.75</v>
      </c>
      <c r="I66" s="50">
        <f>SUM(B66:H66)</f>
        <v>382550.90999957465</v>
      </c>
    </row>
    <row r="67" spans="1:12" x14ac:dyDescent="0.25">
      <c r="B67" s="48">
        <f t="shared" ref="B67:I67" si="10">B63-B66</f>
        <v>1.6686972230672836E-6</v>
      </c>
      <c r="C67" s="101">
        <f t="shared" si="10"/>
        <v>32262.459999997751</v>
      </c>
      <c r="D67" s="101">
        <f t="shared" si="10"/>
        <v>116860.40999999986</v>
      </c>
      <c r="E67" s="101">
        <f t="shared" si="10"/>
        <v>20533.309999999998</v>
      </c>
      <c r="F67" s="101">
        <f t="shared" si="10"/>
        <v>-35256.509999999966</v>
      </c>
      <c r="G67" s="101">
        <f t="shared" si="10"/>
        <v>10889.070000000022</v>
      </c>
      <c r="H67" s="101">
        <f t="shared" si="10"/>
        <v>10273.600000000006</v>
      </c>
      <c r="I67" s="48">
        <f t="shared" si="10"/>
        <v>155562.34000166634</v>
      </c>
    </row>
    <row r="68" spans="1:12" x14ac:dyDescent="0.25">
      <c r="B68" s="48"/>
      <c r="C68" s="48"/>
      <c r="D68" s="48"/>
      <c r="E68" s="48"/>
      <c r="I68" s="50"/>
    </row>
    <row r="69" spans="1:12" x14ac:dyDescent="0.25">
      <c r="B69" s="48"/>
      <c r="C69" s="48"/>
      <c r="D69" s="48"/>
      <c r="E69" s="48"/>
    </row>
    <row r="70" spans="1:12" x14ac:dyDescent="0.25">
      <c r="B70" s="48"/>
      <c r="C70" s="48"/>
      <c r="D70" s="48"/>
      <c r="E70" s="48"/>
    </row>
    <row r="71" spans="1:12" x14ac:dyDescent="0.25">
      <c r="B71" s="48"/>
      <c r="C71" s="48"/>
      <c r="D71" s="48"/>
      <c r="E71" s="48"/>
    </row>
    <row r="72" spans="1:12" s="46" customFormat="1" x14ac:dyDescent="0.25">
      <c r="A72"/>
      <c r="B72" s="48"/>
      <c r="C72" s="48"/>
      <c r="D72" s="48"/>
      <c r="E72" s="48"/>
      <c r="J72"/>
      <c r="K72"/>
      <c r="L72" s="39"/>
    </row>
    <row r="73" spans="1:12" s="46" customFormat="1" x14ac:dyDescent="0.25">
      <c r="A73"/>
      <c r="B73" s="48"/>
      <c r="C73" s="48"/>
      <c r="D73" s="48"/>
      <c r="E73" s="48"/>
      <c r="J73"/>
      <c r="K73"/>
      <c r="L73" s="39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view="pageBreakPreview" zoomScale="80" zoomScaleNormal="60" zoomScaleSheetLayoutView="80" workbookViewId="0">
      <pane ySplit="6" topLeftCell="A10" activePane="bottomLeft" state="frozen"/>
      <selection activeCell="M77" sqref="M77"/>
      <selection pane="bottomLeft" activeCell="B14" sqref="B14"/>
    </sheetView>
  </sheetViews>
  <sheetFormatPr defaultRowHeight="15" x14ac:dyDescent="0.25"/>
  <cols>
    <col min="1" max="1" width="81.42578125" bestFit="1" customWidth="1"/>
    <col min="2" max="2" width="38.140625" style="46" bestFit="1" customWidth="1"/>
    <col min="3" max="3" width="32.140625" style="46" bestFit="1" customWidth="1"/>
    <col min="4" max="4" width="29.85546875" style="46" bestFit="1" customWidth="1"/>
    <col min="5" max="5" width="24.140625" style="46" bestFit="1" customWidth="1"/>
    <col min="6" max="7" width="26.28515625" style="46" bestFit="1" customWidth="1"/>
    <col min="8" max="8" width="25.5703125" style="46" bestFit="1" customWidth="1"/>
    <col min="9" max="9" width="38.140625" style="46" bestFit="1" customWidth="1"/>
    <col min="12" max="12" width="16.85546875" style="39" bestFit="1" customWidth="1"/>
  </cols>
  <sheetData>
    <row r="1" spans="1:12" ht="36" x14ac:dyDescent="0.55000000000000004">
      <c r="A1" s="227" t="s">
        <v>334</v>
      </c>
      <c r="B1" s="227"/>
      <c r="C1" s="227"/>
      <c r="D1" s="227"/>
      <c r="E1" s="227"/>
      <c r="F1" s="227"/>
      <c r="G1" s="227"/>
      <c r="H1" s="227"/>
      <c r="I1" s="227"/>
    </row>
    <row r="2" spans="1:12" ht="36" x14ac:dyDescent="0.55000000000000004">
      <c r="A2" s="227" t="s">
        <v>333</v>
      </c>
      <c r="B2" s="227"/>
      <c r="C2" s="227"/>
      <c r="D2" s="227"/>
      <c r="E2" s="227"/>
      <c r="F2" s="227"/>
      <c r="G2" s="227"/>
      <c r="H2" s="227"/>
      <c r="I2" s="227"/>
    </row>
    <row r="3" spans="1:12" ht="36" x14ac:dyDescent="0.55000000000000004">
      <c r="A3" s="227" t="s">
        <v>267</v>
      </c>
      <c r="B3" s="227"/>
      <c r="C3" s="227"/>
      <c r="D3" s="227"/>
      <c r="E3" s="227"/>
      <c r="F3" s="227"/>
      <c r="G3" s="227"/>
      <c r="H3" s="227"/>
      <c r="I3" s="227"/>
    </row>
    <row r="4" spans="1:12" ht="36" x14ac:dyDescent="0.55000000000000004">
      <c r="A4" s="228">
        <v>43343</v>
      </c>
      <c r="B4" s="229"/>
      <c r="C4" s="229"/>
      <c r="D4" s="229"/>
      <c r="E4" s="229"/>
      <c r="F4" s="229"/>
      <c r="G4" s="229"/>
      <c r="H4" s="229"/>
      <c r="I4" s="229"/>
    </row>
    <row r="6" spans="1:12" s="79" customFormat="1" ht="30" customHeight="1" x14ac:dyDescent="0.5">
      <c r="A6" s="54"/>
      <c r="B6" s="59" t="s">
        <v>213</v>
      </c>
      <c r="C6" s="59" t="s">
        <v>215</v>
      </c>
      <c r="D6" s="59" t="s">
        <v>214</v>
      </c>
      <c r="E6" s="59" t="s">
        <v>216</v>
      </c>
      <c r="F6" s="59" t="s">
        <v>217</v>
      </c>
      <c r="G6" s="59" t="s">
        <v>414</v>
      </c>
      <c r="H6" s="59" t="s">
        <v>425</v>
      </c>
      <c r="I6" s="59" t="s">
        <v>208</v>
      </c>
      <c r="L6" s="81"/>
    </row>
    <row r="7" spans="1:12" s="79" customFormat="1" ht="42.75" customHeight="1" x14ac:dyDescent="0.5">
      <c r="A7" s="61" t="s">
        <v>62</v>
      </c>
      <c r="B7" s="53"/>
      <c r="C7" s="53"/>
      <c r="D7" s="53"/>
      <c r="E7" s="53"/>
      <c r="F7" s="53"/>
      <c r="G7" s="53"/>
      <c r="H7" s="53"/>
      <c r="I7" s="53"/>
      <c r="L7" s="81"/>
    </row>
    <row r="8" spans="1:12" s="79" customFormat="1" ht="42.75" customHeight="1" x14ac:dyDescent="0.5">
      <c r="A8" s="54" t="s">
        <v>218</v>
      </c>
      <c r="B8" s="63">
        <f>[3]CNT!N104+[3]CNT!N115</f>
        <v>893961523.28000009</v>
      </c>
      <c r="C8" s="63">
        <f>BPM!J8+BPM!J16</f>
        <v>57653777.079999998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f t="shared" ref="I8:I15" si="0">SUM(B8:H8)</f>
        <v>951615300.36000013</v>
      </c>
      <c r="L8" s="81"/>
    </row>
    <row r="9" spans="1:12" s="79" customFormat="1" ht="42.75" customHeight="1" x14ac:dyDescent="0.5">
      <c r="A9" s="54" t="s">
        <v>219</v>
      </c>
      <c r="B9" s="63">
        <f>[3]CNT!N105+[3]CNT!N116</f>
        <v>2856595052.3600001</v>
      </c>
      <c r="C9" s="63">
        <f>BPM!J9</f>
        <v>2654169.5999999996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f t="shared" si="0"/>
        <v>2859249221.96</v>
      </c>
      <c r="L9" s="81"/>
    </row>
    <row r="10" spans="1:12" s="79" customFormat="1" ht="42.75" customHeight="1" x14ac:dyDescent="0.5">
      <c r="A10" s="54" t="s">
        <v>220</v>
      </c>
      <c r="B10" s="63">
        <f>[3]CNT!N106+[3]CNT!N117</f>
        <v>12962345.98</v>
      </c>
      <c r="C10" s="63">
        <f>BPM!J10</f>
        <v>264904.90000000002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f t="shared" si="0"/>
        <v>13227250.880000001</v>
      </c>
      <c r="L10" s="81"/>
    </row>
    <row r="11" spans="1:12" s="79" customFormat="1" ht="42.75" customHeight="1" x14ac:dyDescent="0.5">
      <c r="A11" s="54" t="s">
        <v>433</v>
      </c>
      <c r="B11" s="63">
        <f>[3]CNT!N107+[3]CNT!N118</f>
        <v>11213637.91</v>
      </c>
      <c r="C11" s="63">
        <f>BPM!J11</f>
        <v>17523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f t="shared" si="0"/>
        <v>11231160.91</v>
      </c>
      <c r="L11" s="81"/>
    </row>
    <row r="12" spans="1:12" s="79" customFormat="1" ht="42.75" customHeight="1" x14ac:dyDescent="0.5">
      <c r="A12" s="54" t="s">
        <v>221</v>
      </c>
      <c r="B12" s="63">
        <f>[3]CNT!N111+[3]CNT!N121</f>
        <v>4564165.9700000007</v>
      </c>
      <c r="C12" s="63">
        <f>0</f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f t="shared" si="0"/>
        <v>4564165.9700000007</v>
      </c>
      <c r="L12" s="81"/>
    </row>
    <row r="13" spans="1:12" s="79" customFormat="1" ht="42.75" customHeight="1" x14ac:dyDescent="0.5">
      <c r="A13" s="54" t="s">
        <v>222</v>
      </c>
      <c r="B13" s="63">
        <f>[3]CNT!N122+[3]CNT!N123+[3]CNT!N124+[3]CNT!N125</f>
        <v>594586.1100000001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f t="shared" si="0"/>
        <v>594586.1100000001</v>
      </c>
      <c r="L13" s="81"/>
    </row>
    <row r="14" spans="1:12" s="79" customFormat="1" ht="42.75" customHeight="1" x14ac:dyDescent="0.5">
      <c r="A14" s="54" t="s">
        <v>223</v>
      </c>
      <c r="B14" s="63">
        <f>[3]CNT!N109+[3]CNT!N110+[3]CNT!N112+[3]CNT!N113+[3]CNT!N114+[3]CNT!N108+[3]CNT!N120</f>
        <v>664091.04</v>
      </c>
      <c r="C14" s="63">
        <f>BPM!J13+BPM!J14</f>
        <v>2611450.5</v>
      </c>
      <c r="D14" s="63">
        <f>DEP!J17</f>
        <v>1651434.8699999999</v>
      </c>
      <c r="E14" s="63">
        <v>0</v>
      </c>
      <c r="F14" s="63">
        <f>'BSC (Dome)'!J14</f>
        <v>539066.97000000009</v>
      </c>
      <c r="G14" s="63">
        <v>0</v>
      </c>
      <c r="H14" s="63">
        <v>0</v>
      </c>
      <c r="I14" s="63">
        <f t="shared" si="0"/>
        <v>5466043.3799999999</v>
      </c>
      <c r="L14" s="81"/>
    </row>
    <row r="15" spans="1:12" s="79" customFormat="1" ht="42.75" customHeight="1" x14ac:dyDescent="0.5">
      <c r="A15" s="61" t="s">
        <v>224</v>
      </c>
      <c r="B15" s="67">
        <f t="shared" ref="B15:H15" si="1">SUM(B8:B14)</f>
        <v>3780555402.6500001</v>
      </c>
      <c r="C15" s="67">
        <f t="shared" si="1"/>
        <v>63201825.079999998</v>
      </c>
      <c r="D15" s="67">
        <f t="shared" si="1"/>
        <v>1651434.8699999999</v>
      </c>
      <c r="E15" s="67">
        <f t="shared" si="1"/>
        <v>0</v>
      </c>
      <c r="F15" s="67">
        <f t="shared" si="1"/>
        <v>539066.97000000009</v>
      </c>
      <c r="G15" s="67">
        <f t="shared" si="1"/>
        <v>0</v>
      </c>
      <c r="H15" s="67">
        <f t="shared" si="1"/>
        <v>0</v>
      </c>
      <c r="I15" s="67">
        <f t="shared" si="0"/>
        <v>3845947729.5699997</v>
      </c>
      <c r="L15" s="81"/>
    </row>
    <row r="16" spans="1:12" s="79" customFormat="1" ht="42.75" customHeight="1" x14ac:dyDescent="0.5">
      <c r="A16" s="54"/>
      <c r="B16" s="63"/>
      <c r="C16" s="63"/>
      <c r="D16" s="63"/>
      <c r="E16" s="63"/>
      <c r="F16" s="63"/>
      <c r="G16" s="63"/>
      <c r="H16" s="63"/>
      <c r="I16" s="63"/>
      <c r="L16" s="81"/>
    </row>
    <row r="17" spans="1:12" s="79" customFormat="1" ht="42.75" customHeight="1" x14ac:dyDescent="0.5">
      <c r="A17" s="61" t="s">
        <v>209</v>
      </c>
      <c r="B17" s="63"/>
      <c r="C17" s="63"/>
      <c r="D17" s="63"/>
      <c r="E17" s="63"/>
      <c r="F17" s="63"/>
      <c r="G17" s="63"/>
      <c r="H17" s="63"/>
      <c r="I17" s="63"/>
      <c r="L17" s="81"/>
    </row>
    <row r="18" spans="1:12" s="79" customFormat="1" ht="42.75" customHeight="1" x14ac:dyDescent="0.5">
      <c r="A18" s="54" t="s">
        <v>218</v>
      </c>
      <c r="B18" s="63">
        <f>'[3]Comparative YTD 2018-2017 Augus'!B26</f>
        <v>894395549.28999996</v>
      </c>
      <c r="C18" s="63">
        <f>BPM!J20+BPM!J31</f>
        <v>57471169.739999995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f t="shared" ref="I18:I25" si="2">SUM(B18:H18)</f>
        <v>951866719.02999997</v>
      </c>
      <c r="L18" s="81"/>
    </row>
    <row r="19" spans="1:12" s="79" customFormat="1" ht="42.75" customHeight="1" x14ac:dyDescent="0.5">
      <c r="A19" s="54" t="s">
        <v>219</v>
      </c>
      <c r="B19" s="63">
        <f>'[3]Comparative YTD 2018-2017 Augus'!B27</f>
        <v>2853794732.1999993</v>
      </c>
      <c r="C19" s="63">
        <f>BPM!J21+BPM!J32</f>
        <v>2423732.77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f t="shared" si="2"/>
        <v>2856218464.9699993</v>
      </c>
      <c r="L19" s="81"/>
    </row>
    <row r="20" spans="1:12" s="79" customFormat="1" ht="42.75" customHeight="1" x14ac:dyDescent="0.5">
      <c r="A20" s="54" t="s">
        <v>220</v>
      </c>
      <c r="B20" s="63">
        <f>'[3]Comparative YTD 2018-2017 Augus'!B28</f>
        <v>12912728.390000002</v>
      </c>
      <c r="C20" s="63">
        <f>BPM!J22+BPM!J33</f>
        <v>246980.01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f t="shared" si="2"/>
        <v>13159708.400000002</v>
      </c>
      <c r="L20" s="81"/>
    </row>
    <row r="21" spans="1:12" s="79" customFormat="1" ht="42.75" customHeight="1" x14ac:dyDescent="0.5">
      <c r="A21" s="54" t="s">
        <v>433</v>
      </c>
      <c r="B21" s="63">
        <f>'[3]Comparative YTD 2018-2017 Augus'!B29</f>
        <v>11829837.770000001</v>
      </c>
      <c r="C21" s="63">
        <f>BPM!J23</f>
        <v>10988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f t="shared" si="2"/>
        <v>11840825.770000001</v>
      </c>
      <c r="L21" s="81"/>
    </row>
    <row r="22" spans="1:12" s="79" customFormat="1" ht="42.75" customHeight="1" x14ac:dyDescent="0.5">
      <c r="A22" s="54" t="s">
        <v>221</v>
      </c>
      <c r="B22" s="63">
        <f>'[3]Comparative YTD 2018-2017 Augus'!B30</f>
        <v>4474471.5999999996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f t="shared" si="2"/>
        <v>4474471.5999999996</v>
      </c>
      <c r="L22" s="81"/>
    </row>
    <row r="23" spans="1:12" s="79" customFormat="1" ht="42.75" customHeight="1" x14ac:dyDescent="0.5">
      <c r="A23" s="54" t="s">
        <v>222</v>
      </c>
      <c r="B23" s="63">
        <f>'[3]Comparative YTD 2018-2017 Augus'!B31</f>
        <v>482370.12</v>
      </c>
      <c r="C23" s="63">
        <f>BPM!J25</f>
        <v>482.93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f t="shared" si="2"/>
        <v>482853.05</v>
      </c>
      <c r="L23" s="81"/>
    </row>
    <row r="24" spans="1:12" s="79" customFormat="1" ht="42.75" customHeight="1" x14ac:dyDescent="0.5">
      <c r="A24" s="54" t="s">
        <v>223</v>
      </c>
      <c r="B24" s="63">
        <f>'[3]Comparative YTD 2018-2017 Augus'!B32</f>
        <v>-1569306.6700000011</v>
      </c>
      <c r="C24" s="63">
        <f>BPM!J24+BPM!J26+BPM!J27+BPM!J34+BPM!J35+BPM!J29+BPM!J30+BPM!J28</f>
        <v>2154284.86</v>
      </c>
      <c r="D24" s="63">
        <f>DEP!J23</f>
        <v>217282.57</v>
      </c>
      <c r="E24" s="63">
        <v>0</v>
      </c>
      <c r="F24" s="63">
        <f>'BSC (Dome)'!J17</f>
        <v>1648.2199999999998</v>
      </c>
      <c r="G24" s="63">
        <v>0</v>
      </c>
      <c r="H24" s="63">
        <v>0</v>
      </c>
      <c r="I24" s="63">
        <f t="shared" si="2"/>
        <v>803908.97999999882</v>
      </c>
      <c r="L24" s="81"/>
    </row>
    <row r="25" spans="1:12" s="79" customFormat="1" ht="42.75" customHeight="1" x14ac:dyDescent="0.5">
      <c r="A25" s="61" t="s">
        <v>225</v>
      </c>
      <c r="B25" s="67">
        <f t="shared" ref="B25:H25" si="3">SUM(B18:B24)</f>
        <v>3776320382.6999989</v>
      </c>
      <c r="C25" s="67">
        <f t="shared" si="3"/>
        <v>62307638.309999995</v>
      </c>
      <c r="D25" s="67">
        <f t="shared" si="3"/>
        <v>217282.57</v>
      </c>
      <c r="E25" s="67">
        <f t="shared" si="3"/>
        <v>0</v>
      </c>
      <c r="F25" s="67">
        <f t="shared" si="3"/>
        <v>1648.2199999999998</v>
      </c>
      <c r="G25" s="67">
        <f t="shared" si="3"/>
        <v>0</v>
      </c>
      <c r="H25" s="67">
        <f t="shared" si="3"/>
        <v>0</v>
      </c>
      <c r="I25" s="67">
        <f t="shared" si="2"/>
        <v>3838846951.7999988</v>
      </c>
      <c r="L25" s="81"/>
    </row>
    <row r="26" spans="1:12" s="79" customFormat="1" ht="42.75" customHeight="1" x14ac:dyDescent="0.5">
      <c r="A26" s="54"/>
      <c r="B26" s="63"/>
      <c r="C26" s="63"/>
      <c r="D26" s="63"/>
      <c r="E26" s="63"/>
      <c r="F26" s="63"/>
      <c r="G26" s="63"/>
      <c r="H26" s="63"/>
      <c r="I26" s="63"/>
      <c r="L26" s="81"/>
    </row>
    <row r="27" spans="1:12" s="79" customFormat="1" ht="42.75" customHeight="1" thickBot="1" x14ac:dyDescent="0.55000000000000004">
      <c r="A27" s="61" t="s">
        <v>212</v>
      </c>
      <c r="B27" s="73">
        <f t="shared" ref="B27:H27" si="4">B15-B25</f>
        <v>4235019.9500012398</v>
      </c>
      <c r="C27" s="73">
        <f t="shared" si="4"/>
        <v>894186.77000000328</v>
      </c>
      <c r="D27" s="73">
        <f t="shared" si="4"/>
        <v>1434152.2999999998</v>
      </c>
      <c r="E27" s="73">
        <f t="shared" si="4"/>
        <v>0</v>
      </c>
      <c r="F27" s="73">
        <f t="shared" si="4"/>
        <v>537418.75000000012</v>
      </c>
      <c r="G27" s="73">
        <f t="shared" si="4"/>
        <v>0</v>
      </c>
      <c r="H27" s="73">
        <f t="shared" si="4"/>
        <v>0</v>
      </c>
      <c r="I27" s="73">
        <f>SUM(B27:H27)</f>
        <v>7100777.7700012429</v>
      </c>
      <c r="L27" s="81"/>
    </row>
    <row r="28" spans="1:12" s="79" customFormat="1" ht="42.75" customHeight="1" x14ac:dyDescent="0.5">
      <c r="A28" s="54"/>
      <c r="B28" s="63"/>
      <c r="C28" s="63"/>
      <c r="D28" s="63"/>
      <c r="E28" s="63"/>
      <c r="F28" s="63"/>
      <c r="G28" s="63"/>
      <c r="H28" s="63"/>
      <c r="I28" s="63"/>
      <c r="L28" s="81"/>
    </row>
    <row r="29" spans="1:12" s="79" customFormat="1" ht="42.75" customHeight="1" x14ac:dyDescent="0.5">
      <c r="A29" s="61" t="s">
        <v>210</v>
      </c>
      <c r="B29" s="63"/>
      <c r="C29" s="63"/>
      <c r="D29" s="63"/>
      <c r="E29" s="63"/>
      <c r="F29" s="63"/>
      <c r="G29" s="63"/>
      <c r="H29" s="63"/>
      <c r="I29" s="63"/>
      <c r="L29" s="81"/>
    </row>
    <row r="30" spans="1:12" s="79" customFormat="1" ht="42.75" customHeight="1" x14ac:dyDescent="0.5">
      <c r="A30" s="54"/>
      <c r="B30" s="63"/>
      <c r="C30" s="63"/>
      <c r="D30" s="63"/>
      <c r="E30" s="63"/>
      <c r="F30" s="63"/>
      <c r="G30" s="63"/>
      <c r="H30" s="63"/>
      <c r="I30" s="63"/>
      <c r="L30" s="81"/>
    </row>
    <row r="31" spans="1:12" s="79" customFormat="1" ht="42.75" customHeight="1" x14ac:dyDescent="0.5">
      <c r="A31" s="61" t="s">
        <v>226</v>
      </c>
      <c r="B31" s="63"/>
      <c r="C31" s="63"/>
      <c r="D31" s="63"/>
      <c r="E31" s="63"/>
      <c r="F31" s="63"/>
      <c r="G31" s="63"/>
      <c r="H31" s="63"/>
      <c r="I31" s="63"/>
      <c r="L31" s="81"/>
    </row>
    <row r="32" spans="1:12" s="79" customFormat="1" ht="42.75" customHeight="1" x14ac:dyDescent="0.5">
      <c r="A32" s="54" t="s">
        <v>227</v>
      </c>
      <c r="B32" s="63">
        <f>CNT!N193</f>
        <v>2498913.25</v>
      </c>
      <c r="C32" s="63">
        <v>0</v>
      </c>
      <c r="D32" s="63">
        <f>DEP!J29</f>
        <v>69792.83</v>
      </c>
      <c r="E32" s="63">
        <v>0</v>
      </c>
      <c r="F32" s="63">
        <f>'BSC (Dome)'!J24+'BSC (Dome)'!J31</f>
        <v>210608.88999999998</v>
      </c>
      <c r="G32" s="63">
        <v>0</v>
      </c>
      <c r="H32" s="63">
        <v>0</v>
      </c>
      <c r="I32" s="63">
        <f t="shared" ref="I32:I41" si="5">SUM(B32:H32)</f>
        <v>2779314.97</v>
      </c>
      <c r="L32" s="81"/>
    </row>
    <row r="33" spans="1:12" s="79" customFormat="1" ht="42.75" customHeight="1" x14ac:dyDescent="0.5">
      <c r="A33" s="54" t="s">
        <v>228</v>
      </c>
      <c r="B33" s="63">
        <f>CNT!N195</f>
        <v>21929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f t="shared" si="5"/>
        <v>21929</v>
      </c>
      <c r="L33" s="81"/>
    </row>
    <row r="34" spans="1:12" s="79" customFormat="1" ht="42.75" customHeight="1" x14ac:dyDescent="0.5">
      <c r="A34" s="54" t="s">
        <v>229</v>
      </c>
      <c r="B34" s="63">
        <f>CNT!N196</f>
        <v>214768.75999999998</v>
      </c>
      <c r="C34" s="63">
        <v>0</v>
      </c>
      <c r="D34" s="63">
        <f>DEP!J30</f>
        <v>7444.7600000000011</v>
      </c>
      <c r="E34" s="63">
        <v>0</v>
      </c>
      <c r="F34" s="63">
        <f>'BSC (Dome)'!J25</f>
        <v>14035.000000000002</v>
      </c>
      <c r="G34" s="63">
        <v>0</v>
      </c>
      <c r="H34" s="63">
        <v>0</v>
      </c>
      <c r="I34" s="63">
        <f t="shared" si="5"/>
        <v>236248.52</v>
      </c>
      <c r="L34" s="81"/>
    </row>
    <row r="35" spans="1:12" s="79" customFormat="1" ht="42.75" customHeight="1" x14ac:dyDescent="0.5">
      <c r="A35" s="54" t="s">
        <v>230</v>
      </c>
      <c r="B35" s="63">
        <f>CNT!N197</f>
        <v>216315.38</v>
      </c>
      <c r="C35" s="63">
        <v>0</v>
      </c>
      <c r="D35" s="63">
        <f>DEP!J31</f>
        <v>25033.31</v>
      </c>
      <c r="E35" s="63">
        <v>0</v>
      </c>
      <c r="F35" s="63">
        <f>'BSC (Dome)'!J26</f>
        <v>40198.289999999994</v>
      </c>
      <c r="G35" s="63">
        <v>0</v>
      </c>
      <c r="H35" s="63">
        <v>0</v>
      </c>
      <c r="I35" s="63">
        <f t="shared" si="5"/>
        <v>281546.98</v>
      </c>
      <c r="L35" s="81"/>
    </row>
    <row r="36" spans="1:12" s="79" customFormat="1" ht="42.75" customHeight="1" x14ac:dyDescent="0.5">
      <c r="A36" s="54" t="s">
        <v>231</v>
      </c>
      <c r="B36" s="63">
        <f>CNT!N198</f>
        <v>31748.940000000002</v>
      </c>
      <c r="C36" s="63">
        <v>0</v>
      </c>
      <c r="D36" s="63">
        <f>DEP!J32</f>
        <v>1735.84</v>
      </c>
      <c r="E36" s="63">
        <v>0</v>
      </c>
      <c r="F36" s="63">
        <f>'BSC (Dome)'!J27</f>
        <v>2427.5699999999997</v>
      </c>
      <c r="G36" s="63">
        <v>0</v>
      </c>
      <c r="H36" s="63">
        <v>0</v>
      </c>
      <c r="I36" s="63">
        <f t="shared" si="5"/>
        <v>35912.35</v>
      </c>
      <c r="L36" s="81"/>
    </row>
    <row r="37" spans="1:12" s="79" customFormat="1" ht="42.75" customHeight="1" x14ac:dyDescent="0.5">
      <c r="A37" s="54" t="s">
        <v>232</v>
      </c>
      <c r="B37" s="63">
        <f>CNT!N199</f>
        <v>71635</v>
      </c>
      <c r="C37" s="63">
        <v>0</v>
      </c>
      <c r="D37" s="63">
        <f>DEP!J33</f>
        <v>2600</v>
      </c>
      <c r="E37" s="63">
        <v>0</v>
      </c>
      <c r="F37" s="63">
        <f>'BSC (Dome)'!J29</f>
        <v>3750</v>
      </c>
      <c r="G37" s="63">
        <v>0</v>
      </c>
      <c r="H37" s="63">
        <v>0</v>
      </c>
      <c r="I37" s="63">
        <f t="shared" si="5"/>
        <v>77985</v>
      </c>
      <c r="L37" s="81"/>
    </row>
    <row r="38" spans="1:12" s="79" customFormat="1" ht="42.75" customHeight="1" x14ac:dyDescent="0.5">
      <c r="A38" s="54" t="s">
        <v>311</v>
      </c>
      <c r="B38" s="63">
        <f>CNT!N201+CNT!N200+CNT!N225</f>
        <v>16539.63</v>
      </c>
      <c r="C38" s="63">
        <v>0</v>
      </c>
      <c r="D38" s="63">
        <f>DEP!J34</f>
        <v>992.56</v>
      </c>
      <c r="E38" s="63">
        <v>0</v>
      </c>
      <c r="F38" s="63">
        <f>'BSC (Dome)'!J28+'BSC (Dome)'!J30</f>
        <v>2542.77</v>
      </c>
      <c r="G38" s="63">
        <v>0</v>
      </c>
      <c r="H38" s="63">
        <v>0</v>
      </c>
      <c r="I38" s="63">
        <f t="shared" si="5"/>
        <v>20074.960000000003</v>
      </c>
      <c r="L38" s="81"/>
    </row>
    <row r="39" spans="1:12" s="79" customFormat="1" ht="42.75" customHeight="1" x14ac:dyDescent="0.5">
      <c r="A39" s="54" t="s">
        <v>233</v>
      </c>
      <c r="B39" s="63">
        <f>CNT!N202+CNT!N203</f>
        <v>5381.74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f t="shared" si="5"/>
        <v>5381.74</v>
      </c>
      <c r="L39" s="81"/>
    </row>
    <row r="40" spans="1:12" s="79" customFormat="1" ht="42.75" customHeight="1" x14ac:dyDescent="0.5">
      <c r="A40" s="54" t="s">
        <v>248</v>
      </c>
      <c r="B40" s="63">
        <f>CNT!N226</f>
        <v>40648.720000000001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f t="shared" si="5"/>
        <v>40648.720000000001</v>
      </c>
      <c r="L40" s="81"/>
    </row>
    <row r="41" spans="1:12" s="79" customFormat="1" ht="42.75" customHeight="1" x14ac:dyDescent="0.5">
      <c r="A41" s="61" t="s">
        <v>234</v>
      </c>
      <c r="B41" s="67">
        <f t="shared" ref="B41:H41" si="6">SUM(B32:B40)</f>
        <v>3117880.42</v>
      </c>
      <c r="C41" s="67">
        <f t="shared" si="6"/>
        <v>0</v>
      </c>
      <c r="D41" s="67">
        <f t="shared" si="6"/>
        <v>107599.29999999999</v>
      </c>
      <c r="E41" s="67">
        <f t="shared" si="6"/>
        <v>0</v>
      </c>
      <c r="F41" s="67">
        <f t="shared" si="6"/>
        <v>273562.52</v>
      </c>
      <c r="G41" s="67">
        <f t="shared" si="6"/>
        <v>0</v>
      </c>
      <c r="H41" s="67">
        <f t="shared" si="6"/>
        <v>0</v>
      </c>
      <c r="I41" s="67">
        <f t="shared" si="5"/>
        <v>3499042.2399999998</v>
      </c>
      <c r="L41" s="81"/>
    </row>
    <row r="42" spans="1:12" s="79" customFormat="1" ht="42.75" customHeight="1" x14ac:dyDescent="0.5">
      <c r="A42" s="54"/>
      <c r="B42" s="63"/>
      <c r="C42" s="63"/>
      <c r="D42" s="63"/>
      <c r="E42" s="63"/>
      <c r="F42" s="63"/>
      <c r="G42" s="63"/>
      <c r="H42" s="63"/>
      <c r="I42" s="63"/>
      <c r="L42" s="81"/>
    </row>
    <row r="43" spans="1:12" s="79" customFormat="1" ht="42.75" customHeight="1" x14ac:dyDescent="0.5">
      <c r="A43" s="61" t="s">
        <v>235</v>
      </c>
      <c r="B43" s="63"/>
      <c r="C43" s="63"/>
      <c r="D43" s="63"/>
      <c r="E43" s="63"/>
      <c r="F43" s="63"/>
      <c r="G43" s="63"/>
      <c r="H43" s="63"/>
      <c r="I43" s="63"/>
      <c r="L43" s="81"/>
    </row>
    <row r="44" spans="1:12" s="79" customFormat="1" ht="42.75" customHeight="1" x14ac:dyDescent="0.5">
      <c r="A44" s="54" t="s">
        <v>236</v>
      </c>
      <c r="B44" s="63">
        <f>[3]CNT!N206+[3]CNT!N207</f>
        <v>273600</v>
      </c>
      <c r="C44" s="63">
        <v>0</v>
      </c>
      <c r="D44" s="63">
        <f>DEP!J38</f>
        <v>300000</v>
      </c>
      <c r="E44" s="63">
        <v>0</v>
      </c>
      <c r="F44" s="63">
        <f>'BSC (Dome)'!J35</f>
        <v>8000</v>
      </c>
      <c r="G44" s="63">
        <v>0</v>
      </c>
      <c r="H44" s="63">
        <v>0</v>
      </c>
      <c r="I44" s="63">
        <f t="shared" ref="I44:I66" si="7">SUM(B44:H44)</f>
        <v>581600</v>
      </c>
      <c r="L44" s="81"/>
    </row>
    <row r="45" spans="1:12" s="79" customFormat="1" ht="42.75" customHeight="1" x14ac:dyDescent="0.5">
      <c r="A45" s="54" t="s">
        <v>237</v>
      </c>
      <c r="B45" s="63">
        <f>[3]CNT!N208</f>
        <v>2553.0200000000013</v>
      </c>
      <c r="C45" s="63">
        <v>0</v>
      </c>
      <c r="D45" s="63">
        <f>DEP!J39</f>
        <v>54470.559999999998</v>
      </c>
      <c r="E45" s="63">
        <v>0</v>
      </c>
      <c r="F45" s="63">
        <f>'BSC (Dome)'!J37</f>
        <v>4968.5</v>
      </c>
      <c r="G45" s="63">
        <v>0</v>
      </c>
      <c r="H45" s="63">
        <v>0</v>
      </c>
      <c r="I45" s="63">
        <f t="shared" si="7"/>
        <v>61992.08</v>
      </c>
      <c r="L45" s="81"/>
    </row>
    <row r="46" spans="1:12" s="79" customFormat="1" ht="42.75" customHeight="1" x14ac:dyDescent="0.5">
      <c r="A46" s="54" t="s">
        <v>238</v>
      </c>
      <c r="B46" s="63">
        <f>[3]CNT!N209</f>
        <v>8752.9499999999989</v>
      </c>
      <c r="C46" s="63">
        <v>0</v>
      </c>
      <c r="D46" s="63">
        <v>0</v>
      </c>
      <c r="E46" s="63">
        <v>0</v>
      </c>
      <c r="F46" s="63">
        <f>'BSC (Dome)'!J36</f>
        <v>59517.61</v>
      </c>
      <c r="G46" s="63">
        <v>0</v>
      </c>
      <c r="H46" s="63">
        <v>0</v>
      </c>
      <c r="I46" s="63">
        <f t="shared" si="7"/>
        <v>68270.559999999998</v>
      </c>
      <c r="L46" s="81"/>
    </row>
    <row r="47" spans="1:12" s="79" customFormat="1" ht="42.75" customHeight="1" x14ac:dyDescent="0.5">
      <c r="A47" s="54" t="s">
        <v>341</v>
      </c>
      <c r="B47" s="63">
        <f>[3]CNT!N210</f>
        <v>579.03</v>
      </c>
      <c r="C47" s="63">
        <v>0</v>
      </c>
      <c r="D47" s="63">
        <v>0</v>
      </c>
      <c r="E47" s="63">
        <v>0</v>
      </c>
      <c r="F47" s="63">
        <f>'BSC (Dome)'!J38</f>
        <v>1532.02</v>
      </c>
      <c r="G47" s="63">
        <v>0</v>
      </c>
      <c r="H47" s="63">
        <v>0</v>
      </c>
      <c r="I47" s="63">
        <f t="shared" si="7"/>
        <v>2111.0500000000002</v>
      </c>
      <c r="L47" s="81"/>
    </row>
    <row r="48" spans="1:12" s="79" customFormat="1" ht="42.75" customHeight="1" x14ac:dyDescent="0.5">
      <c r="A48" s="54" t="s">
        <v>294</v>
      </c>
      <c r="B48" s="63">
        <v>0</v>
      </c>
      <c r="C48" s="63">
        <v>0</v>
      </c>
      <c r="D48" s="63">
        <f>DEP!J40</f>
        <v>1200</v>
      </c>
      <c r="E48" s="63">
        <v>0</v>
      </c>
      <c r="F48" s="63">
        <f>'BSC (Dome)'!J39</f>
        <v>5001.2300000000005</v>
      </c>
      <c r="G48" s="63">
        <v>0</v>
      </c>
      <c r="H48" s="63">
        <v>0</v>
      </c>
      <c r="I48" s="63">
        <f t="shared" si="7"/>
        <v>6201.2300000000005</v>
      </c>
      <c r="L48" s="81"/>
    </row>
    <row r="49" spans="1:12" s="79" customFormat="1" ht="42.75" customHeight="1" x14ac:dyDescent="0.5">
      <c r="A49" s="54" t="s">
        <v>458</v>
      </c>
      <c r="B49" s="63">
        <f>[3]CNT!N211</f>
        <v>19715</v>
      </c>
      <c r="C49" s="63">
        <v>0</v>
      </c>
      <c r="D49" s="63">
        <f>DEP!J41</f>
        <v>19724.2</v>
      </c>
      <c r="E49" s="63">
        <v>0</v>
      </c>
      <c r="F49" s="63">
        <f>'BSC (Dome)'!J40</f>
        <v>0</v>
      </c>
      <c r="G49" s="63">
        <v>0</v>
      </c>
      <c r="H49" s="63">
        <v>0</v>
      </c>
      <c r="I49" s="63">
        <f t="shared" si="7"/>
        <v>39439.199999999997</v>
      </c>
      <c r="L49" s="81"/>
    </row>
    <row r="50" spans="1:12" s="79" customFormat="1" ht="42.75" customHeight="1" x14ac:dyDescent="0.5">
      <c r="A50" s="54" t="s">
        <v>382</v>
      </c>
      <c r="B50" s="63">
        <f>[3]CNT!N212+[3]CNT!N220</f>
        <v>92467.689999999988</v>
      </c>
      <c r="C50" s="63">
        <f>BPM!J42</f>
        <v>2719.73</v>
      </c>
      <c r="D50" s="63">
        <f>DEP!J42</f>
        <v>25593.119999999999</v>
      </c>
      <c r="E50" s="63">
        <v>0</v>
      </c>
      <c r="F50" s="63">
        <f>'BSC (Dome)'!J41</f>
        <v>2914.58</v>
      </c>
      <c r="G50" s="63">
        <v>0</v>
      </c>
      <c r="H50" s="63">
        <v>0</v>
      </c>
      <c r="I50" s="63">
        <f t="shared" si="7"/>
        <v>123695.11999999998</v>
      </c>
      <c r="L50" s="81"/>
    </row>
    <row r="51" spans="1:12" s="79" customFormat="1" ht="42.75" customHeight="1" x14ac:dyDescent="0.5">
      <c r="A51" s="54" t="s">
        <v>380</v>
      </c>
      <c r="B51" s="63">
        <v>0</v>
      </c>
      <c r="C51" s="63">
        <v>0</v>
      </c>
      <c r="D51" s="63">
        <v>0</v>
      </c>
      <c r="E51" s="63">
        <v>0</v>
      </c>
      <c r="F51" s="63">
        <f>'BSC (Dome)'!J42+'BSC (Dome)'!J48</f>
        <v>9997.82</v>
      </c>
      <c r="G51" s="63">
        <v>0</v>
      </c>
      <c r="H51" s="63">
        <v>0</v>
      </c>
      <c r="I51" s="63">
        <f t="shared" si="7"/>
        <v>9997.82</v>
      </c>
      <c r="L51" s="81"/>
    </row>
    <row r="52" spans="1:12" s="79" customFormat="1" ht="42.75" customHeight="1" x14ac:dyDescent="0.5">
      <c r="A52" s="54" t="s">
        <v>241</v>
      </c>
      <c r="B52" s="63">
        <f>[3]CNT!N213</f>
        <v>70418.500000000015</v>
      </c>
      <c r="C52" s="63">
        <v>0</v>
      </c>
      <c r="D52" s="63">
        <f>DEP!J43</f>
        <v>42856.180000000008</v>
      </c>
      <c r="E52" s="63">
        <v>0</v>
      </c>
      <c r="F52" s="63">
        <f>'BSC (Dome)'!J44</f>
        <v>486.66999999999996</v>
      </c>
      <c r="G52" s="63">
        <v>0</v>
      </c>
      <c r="H52" s="63">
        <v>0</v>
      </c>
      <c r="I52" s="63">
        <f t="shared" si="7"/>
        <v>113761.35000000002</v>
      </c>
      <c r="L52" s="81"/>
    </row>
    <row r="53" spans="1:12" s="79" customFormat="1" ht="42.75" customHeight="1" x14ac:dyDescent="0.5">
      <c r="A53" s="54" t="s">
        <v>242</v>
      </c>
      <c r="B53" s="63">
        <f>[3]CNT!N214</f>
        <v>29000</v>
      </c>
      <c r="C53" s="63">
        <v>0</v>
      </c>
      <c r="D53" s="63">
        <f>DEP!J44</f>
        <v>11202.26</v>
      </c>
      <c r="E53" s="63">
        <v>0</v>
      </c>
      <c r="F53" s="63">
        <v>0</v>
      </c>
      <c r="G53" s="63">
        <v>0</v>
      </c>
      <c r="H53" s="63">
        <v>0</v>
      </c>
      <c r="I53" s="63">
        <f t="shared" si="7"/>
        <v>40202.26</v>
      </c>
      <c r="L53" s="81"/>
    </row>
    <row r="54" spans="1:12" s="79" customFormat="1" ht="42.75" customHeight="1" x14ac:dyDescent="0.5">
      <c r="A54" s="54" t="s">
        <v>240</v>
      </c>
      <c r="B54" s="63">
        <f>[3]CNT!N215</f>
        <v>40554.869999999995</v>
      </c>
      <c r="C54" s="63">
        <v>0</v>
      </c>
      <c r="D54" s="63">
        <f>DEP!J45</f>
        <v>131014.56999999999</v>
      </c>
      <c r="E54" s="63">
        <v>0</v>
      </c>
      <c r="F54" s="63">
        <f>'BSC (Dome)'!J46</f>
        <v>19394</v>
      </c>
      <c r="G54" s="63">
        <v>0</v>
      </c>
      <c r="H54" s="63">
        <v>0</v>
      </c>
      <c r="I54" s="63">
        <f t="shared" si="7"/>
        <v>190963.44</v>
      </c>
      <c r="L54" s="81"/>
    </row>
    <row r="55" spans="1:12" s="79" customFormat="1" ht="42.75" customHeight="1" x14ac:dyDescent="0.5">
      <c r="A55" s="54" t="s">
        <v>361</v>
      </c>
      <c r="B55" s="63">
        <f>[3]CNT!N251</f>
        <v>570</v>
      </c>
      <c r="C55" s="63">
        <f>BPM!J52</f>
        <v>288.94000000000005</v>
      </c>
      <c r="D55" s="63">
        <f>DEP!J64</f>
        <v>449</v>
      </c>
      <c r="E55" s="63">
        <v>0</v>
      </c>
      <c r="F55" s="63">
        <f>'BSC (Dome)'!J47</f>
        <v>865</v>
      </c>
      <c r="G55" s="63">
        <f>'Oliari Co.'!J10</f>
        <v>520</v>
      </c>
      <c r="H55" s="63">
        <f>'722 Bedford St'!J10</f>
        <v>520</v>
      </c>
      <c r="I55" s="63">
        <f t="shared" si="7"/>
        <v>3212.94</v>
      </c>
      <c r="L55" s="81"/>
    </row>
    <row r="56" spans="1:12" s="79" customFormat="1" ht="42.75" customHeight="1" x14ac:dyDescent="0.5">
      <c r="A56" s="54" t="s">
        <v>364</v>
      </c>
      <c r="B56" s="63">
        <f>[3]CNT!N254</f>
        <v>6518.25</v>
      </c>
      <c r="C56" s="63">
        <v>0</v>
      </c>
      <c r="D56" s="63">
        <v>0</v>
      </c>
      <c r="E56" s="63">
        <v>0</v>
      </c>
      <c r="F56" s="63">
        <f>'BSC (Dome)'!J43</f>
        <v>13024.77</v>
      </c>
      <c r="G56" s="63">
        <v>0</v>
      </c>
      <c r="H56" s="63">
        <v>0</v>
      </c>
      <c r="I56" s="63">
        <f t="shared" si="7"/>
        <v>19543.02</v>
      </c>
      <c r="L56" s="81"/>
    </row>
    <row r="57" spans="1:12" s="79" customFormat="1" ht="42.75" customHeight="1" x14ac:dyDescent="0.5">
      <c r="A57" s="54" t="s">
        <v>243</v>
      </c>
      <c r="B57" s="63">
        <f>[3]CNT!N216</f>
        <v>7875.7</v>
      </c>
      <c r="C57" s="63">
        <v>0</v>
      </c>
      <c r="D57" s="63">
        <f>DEP!J46</f>
        <v>152.47</v>
      </c>
      <c r="E57" s="63">
        <v>0</v>
      </c>
      <c r="F57" s="63">
        <f>'BSC (Dome)'!J49</f>
        <v>1417.5100000000002</v>
      </c>
      <c r="G57" s="63">
        <v>0</v>
      </c>
      <c r="H57" s="63">
        <v>0</v>
      </c>
      <c r="I57" s="63">
        <f t="shared" si="7"/>
        <v>9445.68</v>
      </c>
      <c r="L57" s="81"/>
    </row>
    <row r="58" spans="1:12" s="79" customFormat="1" ht="42.75" customHeight="1" x14ac:dyDescent="0.5">
      <c r="A58" s="54" t="s">
        <v>244</v>
      </c>
      <c r="B58" s="63">
        <f>[3]CNT!N217</f>
        <v>6188.73</v>
      </c>
      <c r="C58" s="63">
        <v>0</v>
      </c>
      <c r="D58" s="63">
        <f>DEP!J48</f>
        <v>3069.8599999999997</v>
      </c>
      <c r="E58" s="63">
        <v>0</v>
      </c>
      <c r="F58" s="63">
        <f>0</f>
        <v>0</v>
      </c>
      <c r="G58" s="63">
        <f>0</f>
        <v>0</v>
      </c>
      <c r="H58" s="63">
        <f>0</f>
        <v>0</v>
      </c>
      <c r="I58" s="63">
        <f t="shared" si="7"/>
        <v>9258.59</v>
      </c>
      <c r="L58" s="81"/>
    </row>
    <row r="59" spans="1:12" s="79" customFormat="1" ht="42.75" customHeight="1" x14ac:dyDescent="0.5">
      <c r="A59" s="54" t="s">
        <v>245</v>
      </c>
      <c r="B59" s="63">
        <f>[3]CNT!N218</f>
        <v>2666.64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f t="shared" si="7"/>
        <v>2666.64</v>
      </c>
      <c r="L59" s="81"/>
    </row>
    <row r="60" spans="1:12" s="79" customFormat="1" ht="42.75" customHeight="1" x14ac:dyDescent="0.5">
      <c r="A60" s="54" t="s">
        <v>246</v>
      </c>
      <c r="B60" s="63">
        <f>[3]CNT!N219+[3]CNT!N222</f>
        <v>1006713.4</v>
      </c>
      <c r="C60" s="63">
        <f>BPM!J43</f>
        <v>3070.45</v>
      </c>
      <c r="D60" s="63">
        <f>DEP!J49</f>
        <v>83611</v>
      </c>
      <c r="E60" s="63">
        <v>0</v>
      </c>
      <c r="F60" s="63">
        <f>'BSC (Dome)'!J52</f>
        <v>75104.61</v>
      </c>
      <c r="G60" s="63">
        <f>'Oliari Co.'!J11</f>
        <v>74010.160000000018</v>
      </c>
      <c r="H60" s="63">
        <f>'722 Bedford St'!J11</f>
        <v>117567.64</v>
      </c>
      <c r="I60" s="63">
        <f t="shared" si="7"/>
        <v>1360077.26</v>
      </c>
      <c r="L60" s="81"/>
    </row>
    <row r="61" spans="1:12" s="79" customFormat="1" ht="42.75" customHeight="1" x14ac:dyDescent="0.5">
      <c r="A61" s="54" t="s">
        <v>256</v>
      </c>
      <c r="B61" s="63">
        <f>[3]CNT!N237</f>
        <v>1268.68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f t="shared" si="7"/>
        <v>1268.68</v>
      </c>
      <c r="L61" s="81"/>
    </row>
    <row r="62" spans="1:12" s="79" customFormat="1" ht="42.75" customHeight="1" x14ac:dyDescent="0.5">
      <c r="A62" s="54" t="s">
        <v>249</v>
      </c>
      <c r="B62" s="63">
        <f>[3]CNT!N236</f>
        <v>13978.66</v>
      </c>
      <c r="C62" s="63">
        <v>0</v>
      </c>
      <c r="D62" s="63">
        <f>DEP!J50</f>
        <v>13242.309999999998</v>
      </c>
      <c r="E62" s="63">
        <v>0</v>
      </c>
      <c r="F62" s="63">
        <f>'BSC (Dome)'!J53</f>
        <v>0</v>
      </c>
      <c r="G62" s="63">
        <v>0</v>
      </c>
      <c r="H62" s="63">
        <v>0</v>
      </c>
      <c r="I62" s="63">
        <f t="shared" si="7"/>
        <v>27220.969999999998</v>
      </c>
      <c r="L62" s="81"/>
    </row>
    <row r="63" spans="1:12" s="79" customFormat="1" ht="42.75" customHeight="1" x14ac:dyDescent="0.5">
      <c r="A63" s="54" t="s">
        <v>250</v>
      </c>
      <c r="B63" s="63">
        <f>[3]CNT!N240+[3]CNT!N221</f>
        <v>109587.13999999998</v>
      </c>
      <c r="C63" s="63">
        <v>0</v>
      </c>
      <c r="D63" s="63">
        <f>DEP!J47</f>
        <v>58040.659999999996</v>
      </c>
      <c r="E63" s="63">
        <v>0</v>
      </c>
      <c r="F63" s="63">
        <f>0</f>
        <v>0</v>
      </c>
      <c r="G63" s="63">
        <v>0</v>
      </c>
      <c r="H63" s="63">
        <v>0</v>
      </c>
      <c r="I63" s="63">
        <f t="shared" si="7"/>
        <v>167627.79999999999</v>
      </c>
      <c r="L63" s="81"/>
    </row>
    <row r="64" spans="1:12" s="79" customFormat="1" ht="42.75" customHeight="1" x14ac:dyDescent="0.5">
      <c r="A64" s="54" t="s">
        <v>374</v>
      </c>
      <c r="B64" s="63">
        <f>[3]CNT!N245</f>
        <v>22526.6</v>
      </c>
      <c r="C64" s="63">
        <v>0</v>
      </c>
      <c r="D64" s="63">
        <f>DEP!J51</f>
        <v>7476.93</v>
      </c>
      <c r="E64" s="63">
        <v>0</v>
      </c>
      <c r="F64" s="63">
        <f>'BSC (Dome)'!J54</f>
        <v>2372.79</v>
      </c>
      <c r="G64" s="63">
        <v>0</v>
      </c>
      <c r="H64" s="63">
        <v>0</v>
      </c>
      <c r="I64" s="63">
        <f>SUM(B64:H64)</f>
        <v>32376.32</v>
      </c>
      <c r="L64" s="81"/>
    </row>
    <row r="65" spans="1:12" s="79" customFormat="1" ht="42.75" customHeight="1" x14ac:dyDescent="0.5">
      <c r="A65" s="54" t="s">
        <v>375</v>
      </c>
      <c r="B65" s="63">
        <f>[3]CNT!N246</f>
        <v>9681.14</v>
      </c>
      <c r="C65" s="63">
        <f>BPM!J49</f>
        <v>4720.28</v>
      </c>
      <c r="D65" s="63">
        <f>DEP!J52</f>
        <v>5065.4799999999996</v>
      </c>
      <c r="E65" s="63">
        <v>0</v>
      </c>
      <c r="F65" s="63">
        <f>'BSC (Dome)'!J55</f>
        <v>4735.24</v>
      </c>
      <c r="G65" s="63">
        <v>0</v>
      </c>
      <c r="H65" s="63">
        <v>0</v>
      </c>
      <c r="I65" s="63">
        <f t="shared" si="7"/>
        <v>24202.14</v>
      </c>
      <c r="L65" s="81"/>
    </row>
    <row r="66" spans="1:12" s="79" customFormat="1" ht="42.75" customHeight="1" x14ac:dyDescent="0.5">
      <c r="A66" s="61" t="s">
        <v>251</v>
      </c>
      <c r="B66" s="67">
        <f t="shared" ref="B66:H66" si="8">SUM(B44:B65)</f>
        <v>1725215.9999999998</v>
      </c>
      <c r="C66" s="67">
        <f t="shared" si="8"/>
        <v>10799.4</v>
      </c>
      <c r="D66" s="67">
        <f t="shared" si="8"/>
        <v>757168.60000000009</v>
      </c>
      <c r="E66" s="67">
        <f t="shared" si="8"/>
        <v>0</v>
      </c>
      <c r="F66" s="67">
        <f t="shared" si="8"/>
        <v>209332.35</v>
      </c>
      <c r="G66" s="67">
        <f t="shared" si="8"/>
        <v>74530.160000000018</v>
      </c>
      <c r="H66" s="67">
        <f t="shared" si="8"/>
        <v>118087.64</v>
      </c>
      <c r="I66" s="67">
        <f t="shared" si="7"/>
        <v>2895134.1500000004</v>
      </c>
      <c r="L66" s="81"/>
    </row>
    <row r="67" spans="1:12" s="79" customFormat="1" ht="42.75" customHeight="1" x14ac:dyDescent="0.5">
      <c r="A67" s="54"/>
      <c r="B67" s="63"/>
      <c r="C67" s="63"/>
      <c r="D67" s="63"/>
      <c r="E67" s="63"/>
      <c r="F67" s="63"/>
      <c r="G67" s="63"/>
      <c r="H67" s="63"/>
      <c r="I67" s="63">
        <f>SUM(B67:F67)</f>
        <v>0</v>
      </c>
      <c r="L67" s="81"/>
    </row>
    <row r="68" spans="1:12" s="79" customFormat="1" ht="42.75" customHeight="1" x14ac:dyDescent="0.5">
      <c r="A68" s="61" t="s">
        <v>252</v>
      </c>
      <c r="B68" s="63"/>
      <c r="C68" s="63"/>
      <c r="D68" s="63"/>
      <c r="E68" s="63"/>
      <c r="F68" s="63"/>
      <c r="G68" s="63"/>
      <c r="H68" s="63"/>
      <c r="I68" s="63">
        <f>SUM(B68:F68)</f>
        <v>0</v>
      </c>
      <c r="L68" s="81"/>
    </row>
    <row r="69" spans="1:12" s="79" customFormat="1" ht="42.75" customHeight="1" x14ac:dyDescent="0.5">
      <c r="A69" s="54" t="s">
        <v>253</v>
      </c>
      <c r="B69" s="63">
        <f>[3]CNT!N227</f>
        <v>7245.54</v>
      </c>
      <c r="C69" s="63">
        <v>0</v>
      </c>
      <c r="D69" s="63">
        <f>DEP!J56</f>
        <v>1279.46</v>
      </c>
      <c r="E69" s="63">
        <v>0</v>
      </c>
      <c r="F69" s="63">
        <f>'BSC (Dome)'!J59</f>
        <v>2726.38</v>
      </c>
      <c r="G69" s="63">
        <v>0</v>
      </c>
      <c r="H69" s="63">
        <v>0</v>
      </c>
      <c r="I69" s="63">
        <f t="shared" ref="I69:I87" si="9">SUM(B69:H69)</f>
        <v>11251.380000000001</v>
      </c>
      <c r="L69" s="81"/>
    </row>
    <row r="70" spans="1:12" s="79" customFormat="1" ht="42.75" customHeight="1" x14ac:dyDescent="0.5">
      <c r="A70" s="54" t="s">
        <v>254</v>
      </c>
      <c r="B70" s="63">
        <f>[3]CNT!N228</f>
        <v>80024.009999999995</v>
      </c>
      <c r="C70" s="63">
        <f>BPM!J47</f>
        <v>7175.02</v>
      </c>
      <c r="D70" s="63">
        <f>DEP!J57</f>
        <v>5829.22</v>
      </c>
      <c r="E70" s="63">
        <f>Lending!J9</f>
        <v>1647.2000000000003</v>
      </c>
      <c r="F70" s="63">
        <f>'BSC (Dome)'!J60</f>
        <v>2107.6899999999996</v>
      </c>
      <c r="G70" s="63">
        <v>0</v>
      </c>
      <c r="H70" s="63">
        <f>'722 Bedford St'!J16</f>
        <v>622.5100000000001</v>
      </c>
      <c r="I70" s="63">
        <f t="shared" si="9"/>
        <v>97405.65</v>
      </c>
      <c r="L70" s="81"/>
    </row>
    <row r="71" spans="1:12" s="79" customFormat="1" ht="42.75" customHeight="1" x14ac:dyDescent="0.5">
      <c r="A71" s="54" t="s">
        <v>368</v>
      </c>
      <c r="B71" s="63">
        <v>0</v>
      </c>
      <c r="C71" s="63">
        <v>0</v>
      </c>
      <c r="D71" s="63">
        <v>0</v>
      </c>
      <c r="E71" s="63">
        <v>0</v>
      </c>
      <c r="F71" s="63">
        <f>'BSC (Dome)'!J61</f>
        <v>3298.6400000000003</v>
      </c>
      <c r="G71" s="63">
        <v>0</v>
      </c>
      <c r="H71" s="63">
        <v>0</v>
      </c>
      <c r="I71" s="63">
        <f t="shared" si="9"/>
        <v>3298.6400000000003</v>
      </c>
      <c r="L71" s="81"/>
    </row>
    <row r="72" spans="1:12" s="79" customFormat="1" ht="42.75" customHeight="1" x14ac:dyDescent="0.5">
      <c r="A72" s="54" t="s">
        <v>255</v>
      </c>
      <c r="B72" s="63">
        <f>[3]CNT!N230</f>
        <v>3809.0299999999997</v>
      </c>
      <c r="C72" s="63">
        <v>0</v>
      </c>
      <c r="D72" s="63">
        <v>0</v>
      </c>
      <c r="E72" s="63">
        <f>Lending!J10</f>
        <v>109</v>
      </c>
      <c r="F72" s="63">
        <f>'BSC (Dome)'!J65</f>
        <v>988.30000000000007</v>
      </c>
      <c r="G72" s="63">
        <v>0</v>
      </c>
      <c r="H72" s="63">
        <v>0</v>
      </c>
      <c r="I72" s="63">
        <f t="shared" si="9"/>
        <v>4906.33</v>
      </c>
      <c r="L72" s="81"/>
    </row>
    <row r="73" spans="1:12" s="79" customFormat="1" ht="42.75" customHeight="1" x14ac:dyDescent="0.5">
      <c r="A73" s="54" t="s">
        <v>365</v>
      </c>
      <c r="B73" s="63">
        <f>[3]CNT!N248</f>
        <v>232285.71000000002</v>
      </c>
      <c r="C73" s="63">
        <f>BPM!J50</f>
        <v>21000</v>
      </c>
      <c r="D73" s="63">
        <f>DEP!J61</f>
        <v>33000</v>
      </c>
      <c r="E73" s="63">
        <v>0</v>
      </c>
      <c r="F73" s="63">
        <f>'BSC (Dome)'!J66</f>
        <v>3875</v>
      </c>
      <c r="G73" s="63">
        <f>'Oliari Co.'!J15</f>
        <v>2385</v>
      </c>
      <c r="H73" s="63">
        <v>0</v>
      </c>
      <c r="I73" s="63">
        <f t="shared" si="9"/>
        <v>292545.71000000002</v>
      </c>
      <c r="L73" s="81"/>
    </row>
    <row r="74" spans="1:12" s="79" customFormat="1" ht="42.75" customHeight="1" x14ac:dyDescent="0.5">
      <c r="A74" s="54" t="s">
        <v>366</v>
      </c>
      <c r="B74" s="63">
        <f>[3]CNT!N249</f>
        <v>60500</v>
      </c>
      <c r="C74" s="63">
        <f>BPM!J51</f>
        <v>30000</v>
      </c>
      <c r="D74" s="63">
        <f>DEP!J62</f>
        <v>18000</v>
      </c>
      <c r="E74" s="63">
        <f>-Lending!J11</f>
        <v>-7500</v>
      </c>
      <c r="F74" s="63">
        <f>'BSC (Dome)'!J67</f>
        <v>12000</v>
      </c>
      <c r="G74" s="63">
        <v>0</v>
      </c>
      <c r="H74" s="63">
        <v>0</v>
      </c>
      <c r="I74" s="63">
        <f t="shared" si="9"/>
        <v>113000</v>
      </c>
      <c r="L74" s="81"/>
    </row>
    <row r="75" spans="1:12" s="79" customFormat="1" ht="42.75" customHeight="1" x14ac:dyDescent="0.5">
      <c r="A75" s="54" t="s">
        <v>367</v>
      </c>
      <c r="B75" s="63">
        <f>[3]CNT!N247</f>
        <v>45162.01</v>
      </c>
      <c r="C75" s="63">
        <v>0</v>
      </c>
      <c r="D75" s="63">
        <f>DEP!J60</f>
        <v>-5776.56</v>
      </c>
      <c r="E75" s="63">
        <f>-Lending!J12</f>
        <v>-1038.3400000000001</v>
      </c>
      <c r="F75" s="63">
        <v>0</v>
      </c>
      <c r="G75" s="63">
        <v>0</v>
      </c>
      <c r="H75" s="63">
        <v>0</v>
      </c>
      <c r="I75" s="63">
        <f t="shared" si="9"/>
        <v>38347.11</v>
      </c>
      <c r="L75" s="81"/>
    </row>
    <row r="76" spans="1:12" s="79" customFormat="1" ht="42.75" customHeight="1" x14ac:dyDescent="0.5">
      <c r="A76" s="54" t="s">
        <v>406</v>
      </c>
      <c r="B76" s="63">
        <f>[3]CNT!N250</f>
        <v>33930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f t="shared" si="9"/>
        <v>33930</v>
      </c>
      <c r="L76" s="81"/>
    </row>
    <row r="77" spans="1:12" s="79" customFormat="1" ht="42.75" customHeight="1" x14ac:dyDescent="0.5">
      <c r="A77" s="54" t="s">
        <v>395</v>
      </c>
      <c r="B77" s="63">
        <v>0</v>
      </c>
      <c r="C77" s="63">
        <v>0</v>
      </c>
      <c r="D77" s="63">
        <f>DEP!J63</f>
        <v>5958.3499999999995</v>
      </c>
      <c r="E77" s="63">
        <v>0</v>
      </c>
      <c r="F77" s="63">
        <v>0</v>
      </c>
      <c r="G77" s="63">
        <v>0</v>
      </c>
      <c r="H77" s="63">
        <v>0</v>
      </c>
      <c r="I77" s="63">
        <f t="shared" si="9"/>
        <v>5958.3499999999995</v>
      </c>
      <c r="L77" s="81"/>
    </row>
    <row r="78" spans="1:12" s="79" customFormat="1" ht="42.75" customHeight="1" x14ac:dyDescent="0.5">
      <c r="A78" s="54" t="s">
        <v>257</v>
      </c>
      <c r="B78" s="63">
        <f>[3]CNT!N234+[3]CNT!N252</f>
        <v>35495.100000000006</v>
      </c>
      <c r="C78" s="63">
        <v>0</v>
      </c>
      <c r="D78" s="63">
        <f>DEP!J59</f>
        <v>9250</v>
      </c>
      <c r="E78" s="63">
        <v>0</v>
      </c>
      <c r="F78" s="63">
        <f>'BSC (Dome)'!J63</f>
        <v>1195.2899999999997</v>
      </c>
      <c r="G78" s="63">
        <v>0</v>
      </c>
      <c r="H78" s="63">
        <v>0</v>
      </c>
      <c r="I78" s="63">
        <f t="shared" si="9"/>
        <v>45940.390000000007</v>
      </c>
      <c r="L78" s="81"/>
    </row>
    <row r="79" spans="1:12" s="79" customFormat="1" ht="42.75" customHeight="1" x14ac:dyDescent="0.5">
      <c r="A79" s="54" t="s">
        <v>258</v>
      </c>
      <c r="B79" s="63">
        <f>[3]CNT!N238</f>
        <v>25787.079999999998</v>
      </c>
      <c r="C79" s="63">
        <f>BPM!J48</f>
        <v>912.49</v>
      </c>
      <c r="D79" s="63">
        <f>DEP!J65</f>
        <v>2477.5</v>
      </c>
      <c r="E79" s="63">
        <v>0</v>
      </c>
      <c r="F79" s="63">
        <f>'BSC (Dome)'!J69</f>
        <v>642</v>
      </c>
      <c r="G79" s="63">
        <v>0</v>
      </c>
      <c r="H79" s="63">
        <v>0</v>
      </c>
      <c r="I79" s="63">
        <f t="shared" si="9"/>
        <v>29819.07</v>
      </c>
      <c r="L79" s="81"/>
    </row>
    <row r="80" spans="1:12" s="79" customFormat="1" ht="42.75" customHeight="1" x14ac:dyDescent="0.5">
      <c r="A80" s="54" t="s">
        <v>259</v>
      </c>
      <c r="B80" s="63">
        <f>[3]CNT!N239</f>
        <v>21462.45</v>
      </c>
      <c r="C80" s="63">
        <f>0</f>
        <v>0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f t="shared" si="9"/>
        <v>21462.45</v>
      </c>
      <c r="L80" s="81"/>
    </row>
    <row r="81" spans="1:12" s="79" customFormat="1" ht="42.75" customHeight="1" x14ac:dyDescent="0.5">
      <c r="A81" s="54" t="s">
        <v>298</v>
      </c>
      <c r="B81" s="63">
        <v>0</v>
      </c>
      <c r="C81" s="63">
        <f>0</f>
        <v>0</v>
      </c>
      <c r="D81" s="63">
        <f>DEP!J58</f>
        <v>300</v>
      </c>
      <c r="E81" s="63">
        <v>0</v>
      </c>
      <c r="F81" s="63">
        <f>'BSC (Dome)'!J62</f>
        <v>2600</v>
      </c>
      <c r="G81" s="63">
        <v>0</v>
      </c>
      <c r="H81" s="63">
        <v>0</v>
      </c>
      <c r="I81" s="63">
        <f t="shared" si="9"/>
        <v>2900</v>
      </c>
      <c r="L81" s="81"/>
    </row>
    <row r="82" spans="1:12" s="79" customFormat="1" ht="42.75" customHeight="1" x14ac:dyDescent="0.5">
      <c r="A82" s="54" t="s">
        <v>383</v>
      </c>
      <c r="B82" s="63">
        <f>[3]CNT!N235</f>
        <v>290.73</v>
      </c>
      <c r="C82" s="63">
        <v>0</v>
      </c>
      <c r="D82" s="63">
        <v>0</v>
      </c>
      <c r="E82" s="63">
        <v>0</v>
      </c>
      <c r="F82" s="63">
        <f>'BSC (Dome)'!J64</f>
        <v>10329.9</v>
      </c>
      <c r="G82" s="63">
        <v>0</v>
      </c>
      <c r="H82" s="63">
        <v>0</v>
      </c>
      <c r="I82" s="63">
        <f t="shared" si="9"/>
        <v>10620.63</v>
      </c>
      <c r="L82" s="81"/>
    </row>
    <row r="83" spans="1:12" s="79" customFormat="1" ht="42.75" customHeight="1" x14ac:dyDescent="0.5">
      <c r="A83" s="54" t="s">
        <v>260</v>
      </c>
      <c r="B83" s="63">
        <f>[3]CNT!N241</f>
        <v>20986.639999999999</v>
      </c>
      <c r="C83" s="63">
        <f>0</f>
        <v>0</v>
      </c>
      <c r="D83" s="63">
        <f>0</f>
        <v>0</v>
      </c>
      <c r="E83" s="63">
        <v>0</v>
      </c>
      <c r="F83" s="63">
        <v>0</v>
      </c>
      <c r="G83" s="63">
        <v>0</v>
      </c>
      <c r="H83" s="63">
        <v>0</v>
      </c>
      <c r="I83" s="63">
        <f t="shared" si="9"/>
        <v>20986.639999999999</v>
      </c>
      <c r="L83" s="81"/>
    </row>
    <row r="84" spans="1:12" s="79" customFormat="1" ht="42.75" customHeight="1" x14ac:dyDescent="0.5">
      <c r="A84" s="54" t="s">
        <v>261</v>
      </c>
      <c r="B84" s="63">
        <f>[3]CNT!N242</f>
        <v>14756.6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f t="shared" si="9"/>
        <v>14756.6</v>
      </c>
      <c r="L84" s="81"/>
    </row>
    <row r="85" spans="1:12" s="79" customFormat="1" ht="42.75" customHeight="1" x14ac:dyDescent="0.5">
      <c r="A85" s="54" t="s">
        <v>262</v>
      </c>
      <c r="B85" s="63">
        <f>[3]CNT!N243</f>
        <v>3523.46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f t="shared" si="9"/>
        <v>3523.46</v>
      </c>
      <c r="L85" s="81"/>
    </row>
    <row r="86" spans="1:12" s="79" customFormat="1" ht="42.75" customHeight="1" x14ac:dyDescent="0.5">
      <c r="A86" s="54" t="s">
        <v>263</v>
      </c>
      <c r="B86" s="63">
        <f>[3]CNT!N244+[3]CNT!G253</f>
        <v>17450.440000000002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f t="shared" si="9"/>
        <v>17450.440000000002</v>
      </c>
      <c r="L86" s="81"/>
    </row>
    <row r="87" spans="1:12" s="79" customFormat="1" ht="42.75" customHeight="1" x14ac:dyDescent="0.5">
      <c r="A87" s="61" t="s">
        <v>265</v>
      </c>
      <c r="B87" s="67">
        <f t="shared" ref="B87:H87" si="10">SUM(B69:B86)</f>
        <v>602708.80000000005</v>
      </c>
      <c r="C87" s="67">
        <f t="shared" si="10"/>
        <v>59087.51</v>
      </c>
      <c r="D87" s="67">
        <f t="shared" si="10"/>
        <v>70317.97</v>
      </c>
      <c r="E87" s="67">
        <f t="shared" si="10"/>
        <v>-6782.1399999999994</v>
      </c>
      <c r="F87" s="67">
        <f t="shared" si="10"/>
        <v>39763.200000000004</v>
      </c>
      <c r="G87" s="67">
        <f t="shared" si="10"/>
        <v>2385</v>
      </c>
      <c r="H87" s="67">
        <f t="shared" si="10"/>
        <v>622.5100000000001</v>
      </c>
      <c r="I87" s="67">
        <f t="shared" si="9"/>
        <v>768102.85</v>
      </c>
      <c r="L87" s="81"/>
    </row>
    <row r="88" spans="1:12" s="79" customFormat="1" ht="42.75" customHeight="1" x14ac:dyDescent="0.5">
      <c r="A88" s="54"/>
      <c r="B88" s="63"/>
      <c r="C88" s="63"/>
      <c r="D88" s="63"/>
      <c r="E88" s="63"/>
      <c r="F88" s="63"/>
      <c r="G88" s="63"/>
      <c r="H88" s="63"/>
      <c r="I88" s="63">
        <f>SUM(B88:F88)</f>
        <v>0</v>
      </c>
      <c r="L88" s="81"/>
    </row>
    <row r="89" spans="1:12" s="79" customFormat="1" ht="42.75" customHeight="1" thickBot="1" x14ac:dyDescent="0.55000000000000004">
      <c r="A89" s="61" t="s">
        <v>266</v>
      </c>
      <c r="B89" s="73">
        <f t="shared" ref="B89:H89" si="11">B41+B66+B87</f>
        <v>5445805.2199999997</v>
      </c>
      <c r="C89" s="73">
        <f t="shared" si="11"/>
        <v>69886.91</v>
      </c>
      <c r="D89" s="73">
        <f t="shared" si="11"/>
        <v>935085.87000000011</v>
      </c>
      <c r="E89" s="73">
        <f t="shared" si="11"/>
        <v>-6782.1399999999994</v>
      </c>
      <c r="F89" s="73">
        <f t="shared" si="11"/>
        <v>522658.07</v>
      </c>
      <c r="G89" s="73">
        <f t="shared" si="11"/>
        <v>76915.160000000018</v>
      </c>
      <c r="H89" s="73">
        <f t="shared" si="11"/>
        <v>118710.15</v>
      </c>
      <c r="I89" s="73">
        <f>SUM(B89:H89)</f>
        <v>7162279.2400000012</v>
      </c>
      <c r="L89" s="81"/>
    </row>
    <row r="90" spans="1:12" s="79" customFormat="1" ht="42.75" customHeight="1" x14ac:dyDescent="0.5">
      <c r="A90" s="54"/>
      <c r="B90" s="63"/>
      <c r="C90" s="63"/>
      <c r="D90" s="63"/>
      <c r="E90" s="63"/>
      <c r="F90" s="63"/>
      <c r="G90" s="63"/>
      <c r="H90" s="63"/>
      <c r="I90" s="63"/>
      <c r="L90" s="81"/>
    </row>
    <row r="91" spans="1:12" s="79" customFormat="1" ht="42.75" customHeight="1" x14ac:dyDescent="0.5">
      <c r="A91" s="61" t="s">
        <v>276</v>
      </c>
      <c r="B91" s="63"/>
      <c r="C91" s="63"/>
      <c r="D91" s="63"/>
      <c r="E91" s="63"/>
      <c r="F91" s="63"/>
      <c r="G91" s="63"/>
      <c r="H91" s="63"/>
      <c r="I91" s="63"/>
      <c r="L91" s="81"/>
    </row>
    <row r="92" spans="1:12" s="79" customFormat="1" ht="42.75" customHeight="1" x14ac:dyDescent="0.5">
      <c r="A92" s="54" t="s">
        <v>269</v>
      </c>
      <c r="B92" s="63">
        <f>[3]CNT!N258</f>
        <v>100000</v>
      </c>
      <c r="C92" s="63">
        <v>0</v>
      </c>
      <c r="D92" s="63">
        <f>DEP!J71</f>
        <v>100000</v>
      </c>
      <c r="E92" s="63">
        <v>0</v>
      </c>
      <c r="F92" s="63">
        <f>'BSC (Dome)'!J75+'BSC (Dome)'!J76</f>
        <v>44000</v>
      </c>
      <c r="G92" s="63">
        <f>'Oliari Co.'!J21+'Oliari Co.'!J22</f>
        <v>141600</v>
      </c>
      <c r="H92" s="63">
        <f>'722 Bedford St'!J22</f>
        <v>50000</v>
      </c>
      <c r="I92" s="63">
        <f t="shared" ref="I92:I104" si="12">SUM(B92:H92)</f>
        <v>435600</v>
      </c>
      <c r="L92" s="81"/>
    </row>
    <row r="93" spans="1:12" s="79" customFormat="1" ht="42.75" customHeight="1" x14ac:dyDescent="0.5">
      <c r="A93" s="54" t="s">
        <v>270</v>
      </c>
      <c r="B93" s="63">
        <f>[3]CNT!N259</f>
        <v>278737.5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f t="shared" si="12"/>
        <v>278737.5</v>
      </c>
      <c r="L93" s="81"/>
    </row>
    <row r="94" spans="1:12" s="79" customFormat="1" ht="42.75" customHeight="1" x14ac:dyDescent="0.5">
      <c r="A94" s="54" t="s">
        <v>330</v>
      </c>
      <c r="B94" s="63">
        <v>0</v>
      </c>
      <c r="C94" s="63">
        <f>-BPM!J56</f>
        <v>-278737.5</v>
      </c>
      <c r="D94" s="63">
        <v>0</v>
      </c>
      <c r="E94" s="63">
        <v>0</v>
      </c>
      <c r="F94" s="63">
        <v>0</v>
      </c>
      <c r="G94" s="63">
        <v>0</v>
      </c>
      <c r="H94" s="63">
        <v>0</v>
      </c>
      <c r="I94" s="63">
        <f t="shared" si="12"/>
        <v>-278737.5</v>
      </c>
      <c r="L94" s="81"/>
    </row>
    <row r="95" spans="1:12" s="79" customFormat="1" ht="42.75" customHeight="1" x14ac:dyDescent="0.5">
      <c r="A95" s="54" t="s">
        <v>392</v>
      </c>
      <c r="B95" s="63">
        <f>[3]CNT!N260</f>
        <v>45870.66</v>
      </c>
      <c r="C95" s="63">
        <f>-BPM!J57</f>
        <v>-45870.66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f t="shared" si="12"/>
        <v>0</v>
      </c>
      <c r="L95" s="81"/>
    </row>
    <row r="96" spans="1:12" s="79" customFormat="1" ht="42.75" customHeight="1" x14ac:dyDescent="0.5">
      <c r="A96" s="54" t="s">
        <v>271</v>
      </c>
      <c r="B96" s="63">
        <f>[3]CNT!N261</f>
        <v>138972.24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f t="shared" si="12"/>
        <v>138972.24</v>
      </c>
      <c r="L96" s="81"/>
    </row>
    <row r="97" spans="1:12" s="79" customFormat="1" ht="42.75" customHeight="1" x14ac:dyDescent="0.5">
      <c r="A97" s="54" t="s">
        <v>272</v>
      </c>
      <c r="B97" s="63">
        <f>[3]CNT!N262</f>
        <v>153263.76</v>
      </c>
      <c r="C97" s="63">
        <f>-BPM!J58</f>
        <v>8319.7199999999993</v>
      </c>
      <c r="D97" s="63">
        <f>DEP!J72</f>
        <v>21213.279999999999</v>
      </c>
      <c r="E97" s="63">
        <f>Lending!J16</f>
        <v>35765.839999999997</v>
      </c>
      <c r="F97" s="63">
        <v>0</v>
      </c>
      <c r="G97" s="63">
        <f>'Oliari Co.'!J24</f>
        <v>29030.600000000002</v>
      </c>
      <c r="H97" s="63">
        <v>0</v>
      </c>
      <c r="I97" s="63">
        <f t="shared" si="12"/>
        <v>247593.2</v>
      </c>
      <c r="L97" s="81"/>
    </row>
    <row r="98" spans="1:12" s="79" customFormat="1" ht="42.75" customHeight="1" x14ac:dyDescent="0.5">
      <c r="A98" s="54" t="s">
        <v>273</v>
      </c>
      <c r="B98" s="63">
        <f>[3]CNT!N263</f>
        <v>-122661.04</v>
      </c>
      <c r="C98" s="63">
        <v>0</v>
      </c>
      <c r="D98" s="63">
        <v>0</v>
      </c>
      <c r="E98" s="63">
        <f>Lending!J17</f>
        <v>-4470.42</v>
      </c>
      <c r="F98" s="63">
        <f>'BSC (Dome)'!J78+'BSC (Dome)'!J79</f>
        <v>-77500.28</v>
      </c>
      <c r="G98" s="63">
        <f>'Oliari Co.'!J25</f>
        <v>-6887.4400000000005</v>
      </c>
      <c r="H98" s="63">
        <v>0</v>
      </c>
      <c r="I98" s="63">
        <f t="shared" si="12"/>
        <v>-211519.18</v>
      </c>
      <c r="L98" s="81"/>
    </row>
    <row r="99" spans="1:12" s="79" customFormat="1" ht="42.75" customHeight="1" x14ac:dyDescent="0.5">
      <c r="A99" s="54" t="s">
        <v>274</v>
      </c>
      <c r="B99" s="63">
        <f>[3]CNT!N264</f>
        <v>49.6</v>
      </c>
      <c r="C99" s="63">
        <v>0</v>
      </c>
      <c r="D99" s="63">
        <v>0</v>
      </c>
      <c r="E99" s="63"/>
      <c r="F99" s="63">
        <f>'BSC (Dome)'!J77</f>
        <v>1833.08</v>
      </c>
      <c r="G99" s="63">
        <f>'Oliari Co.'!J23</f>
        <v>1.01</v>
      </c>
      <c r="H99" s="63">
        <v>0</v>
      </c>
      <c r="I99" s="63">
        <f t="shared" si="12"/>
        <v>1883.6899999999998</v>
      </c>
      <c r="L99" s="81"/>
    </row>
    <row r="100" spans="1:12" s="79" customFormat="1" ht="42.75" customHeight="1" x14ac:dyDescent="0.5">
      <c r="A100" s="54" t="s">
        <v>407</v>
      </c>
      <c r="B100" s="63">
        <f>[3]CNT!N265</f>
        <v>16193.33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f t="shared" si="12"/>
        <v>16193.33</v>
      </c>
      <c r="L100" s="81"/>
    </row>
    <row r="101" spans="1:12" s="79" customFormat="1" ht="42.75" customHeight="1" x14ac:dyDescent="0.5">
      <c r="A101" s="54" t="s">
        <v>450</v>
      </c>
      <c r="B101" s="63">
        <f>[3]CNT!N266</f>
        <v>3656.73</v>
      </c>
      <c r="C101" s="63">
        <v>0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f t="shared" si="12"/>
        <v>3656.73</v>
      </c>
      <c r="L101" s="81"/>
    </row>
    <row r="102" spans="1:12" s="79" customFormat="1" ht="42.75" customHeight="1" x14ac:dyDescent="0.5">
      <c r="A102" s="54" t="s">
        <v>451</v>
      </c>
      <c r="B102" s="63">
        <f>[3]CNT!N268</f>
        <v>17304.629999999997</v>
      </c>
      <c r="C102" s="63">
        <v>0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f t="shared" si="12"/>
        <v>17304.629999999997</v>
      </c>
      <c r="L102" s="81"/>
    </row>
    <row r="103" spans="1:12" s="79" customFormat="1" ht="42.75" customHeight="1" x14ac:dyDescent="0.5">
      <c r="A103" s="54" t="s">
        <v>408</v>
      </c>
      <c r="B103" s="63">
        <f>[3]CNT!N267</f>
        <v>20298.79</v>
      </c>
      <c r="C103" s="63">
        <v>0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f t="shared" si="12"/>
        <v>20298.79</v>
      </c>
      <c r="L103" s="81"/>
    </row>
    <row r="104" spans="1:12" s="79" customFormat="1" ht="42.75" customHeight="1" x14ac:dyDescent="0.5">
      <c r="A104" s="54" t="s">
        <v>462</v>
      </c>
      <c r="B104" s="63">
        <f>[3]CNT!N269</f>
        <v>3098.28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f t="shared" si="12"/>
        <v>3098.28</v>
      </c>
      <c r="L104" s="81"/>
    </row>
    <row r="105" spans="1:12" s="79" customFormat="1" ht="42.75" customHeight="1" x14ac:dyDescent="0.5">
      <c r="A105" s="61" t="s">
        <v>275</v>
      </c>
      <c r="B105" s="67">
        <f t="shared" ref="B105:I105" si="13">SUM(B92:B104)</f>
        <v>654784.48</v>
      </c>
      <c r="C105" s="67">
        <f t="shared" si="13"/>
        <v>-316288.44000000006</v>
      </c>
      <c r="D105" s="67">
        <f t="shared" si="13"/>
        <v>121213.28</v>
      </c>
      <c r="E105" s="67">
        <f t="shared" si="13"/>
        <v>31295.42</v>
      </c>
      <c r="F105" s="67">
        <f t="shared" si="13"/>
        <v>-31667.199999999997</v>
      </c>
      <c r="G105" s="67">
        <f t="shared" si="13"/>
        <v>163744.17000000001</v>
      </c>
      <c r="H105" s="67">
        <f t="shared" si="13"/>
        <v>50000</v>
      </c>
      <c r="I105" s="67">
        <f t="shared" si="13"/>
        <v>673081.71</v>
      </c>
      <c r="L105" s="81"/>
    </row>
    <row r="106" spans="1:12" s="79" customFormat="1" ht="42.75" customHeight="1" x14ac:dyDescent="0.5">
      <c r="A106" s="61"/>
      <c r="B106" s="63"/>
      <c r="C106" s="63"/>
      <c r="D106" s="63"/>
      <c r="E106" s="63"/>
      <c r="F106" s="63"/>
      <c r="G106" s="63"/>
      <c r="H106" s="63"/>
      <c r="I106" s="63">
        <f>SUM(B106:F106)</f>
        <v>0</v>
      </c>
      <c r="L106" s="81"/>
    </row>
    <row r="107" spans="1:12" s="79" customFormat="1" ht="42.75" customHeight="1" thickBot="1" x14ac:dyDescent="0.55000000000000004">
      <c r="A107" s="61" t="s">
        <v>268</v>
      </c>
      <c r="B107" s="77">
        <f t="shared" ref="B107:H107" si="14">B27-B89+B105</f>
        <v>-556000.78999875998</v>
      </c>
      <c r="C107" s="77">
        <f t="shared" si="14"/>
        <v>508011.42000000319</v>
      </c>
      <c r="D107" s="77">
        <f t="shared" si="14"/>
        <v>620279.70999999973</v>
      </c>
      <c r="E107" s="77">
        <f t="shared" si="14"/>
        <v>38077.56</v>
      </c>
      <c r="F107" s="77">
        <f t="shared" si="14"/>
        <v>-16906.519999999888</v>
      </c>
      <c r="G107" s="77">
        <f t="shared" si="14"/>
        <v>86829.01</v>
      </c>
      <c r="H107" s="77">
        <f t="shared" si="14"/>
        <v>-68710.149999999994</v>
      </c>
      <c r="I107" s="77">
        <f>SUM(B107:H107)</f>
        <v>611580.24000124307</v>
      </c>
      <c r="L107" s="81"/>
    </row>
    <row r="108" spans="1:12" ht="15.75" thickTop="1" x14ac:dyDescent="0.25">
      <c r="B108" s="50"/>
      <c r="C108" s="50"/>
      <c r="D108" s="50"/>
      <c r="E108" s="50"/>
      <c r="F108" s="50"/>
      <c r="G108" s="50"/>
      <c r="H108" s="50"/>
      <c r="I108" s="50"/>
    </row>
    <row r="110" spans="1:12" x14ac:dyDescent="0.25">
      <c r="A110" t="s">
        <v>335</v>
      </c>
      <c r="B110" s="48">
        <v>-556000.79000042868</v>
      </c>
      <c r="C110" s="101">
        <v>402281.97000000335</v>
      </c>
      <c r="D110" s="101">
        <v>503419.3</v>
      </c>
      <c r="E110" s="101">
        <v>17544.25</v>
      </c>
      <c r="F110" s="101">
        <v>18349.990000000078</v>
      </c>
      <c r="G110" s="101">
        <v>75939.939999999973</v>
      </c>
      <c r="H110" s="101">
        <v>-78983.75</v>
      </c>
      <c r="I110" s="50">
        <f>SUM(B110:H110)</f>
        <v>382550.90999957465</v>
      </c>
    </row>
    <row r="111" spans="1:12" x14ac:dyDescent="0.25">
      <c r="B111" s="48">
        <f t="shared" ref="B111:I111" si="15">B107-B110</f>
        <v>1.6686972230672836E-6</v>
      </c>
      <c r="C111" s="101">
        <f t="shared" si="15"/>
        <v>105729.44999999984</v>
      </c>
      <c r="D111" s="101">
        <f t="shared" si="15"/>
        <v>116860.40999999974</v>
      </c>
      <c r="E111" s="101">
        <f t="shared" si="15"/>
        <v>20533.309999999998</v>
      </c>
      <c r="F111" s="101">
        <f t="shared" si="15"/>
        <v>-35256.509999999966</v>
      </c>
      <c r="G111" s="101">
        <f t="shared" si="15"/>
        <v>10889.070000000022</v>
      </c>
      <c r="H111" s="101">
        <f t="shared" si="15"/>
        <v>10273.600000000006</v>
      </c>
      <c r="I111" s="48">
        <f t="shared" si="15"/>
        <v>229029.33000166842</v>
      </c>
    </row>
    <row r="112" spans="1:12" x14ac:dyDescent="0.25">
      <c r="B112" s="48"/>
      <c r="C112" s="48"/>
      <c r="D112" s="48"/>
      <c r="E112" s="48"/>
      <c r="I112" s="50"/>
    </row>
    <row r="113" spans="2:5" x14ac:dyDescent="0.25">
      <c r="B113" s="48"/>
      <c r="C113" s="48"/>
      <c r="D113" s="48"/>
      <c r="E113" s="48"/>
    </row>
    <row r="114" spans="2:5" x14ac:dyDescent="0.25">
      <c r="B114" s="48"/>
      <c r="C114" s="48"/>
      <c r="D114" s="48"/>
      <c r="E114" s="48"/>
    </row>
    <row r="115" spans="2:5" x14ac:dyDescent="0.25">
      <c r="B115" s="48"/>
      <c r="C115" s="48"/>
      <c r="D115" s="48"/>
      <c r="E115" s="48"/>
    </row>
    <row r="116" spans="2:5" x14ac:dyDescent="0.25">
      <c r="B116" s="48"/>
      <c r="C116" s="48"/>
      <c r="D116" s="48"/>
      <c r="E116" s="48"/>
    </row>
    <row r="117" spans="2:5" x14ac:dyDescent="0.25">
      <c r="B117" s="48"/>
      <c r="C117" s="48"/>
      <c r="D117" s="48"/>
      <c r="E117" s="48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8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topLeftCell="I1" zoomScale="60" zoomScaleNormal="50" workbookViewId="0">
      <pane ySplit="18" topLeftCell="A31" activePane="bottomLeft" state="frozen"/>
      <selection activeCell="C24" sqref="C24"/>
      <selection pane="bottomLeft" activeCell="C39" sqref="C39"/>
    </sheetView>
  </sheetViews>
  <sheetFormatPr defaultRowHeight="15" x14ac:dyDescent="0.25"/>
  <cols>
    <col min="1" max="1" width="82.42578125" bestFit="1" customWidth="1"/>
    <col min="2" max="2" width="39.42578125" style="46" bestFit="1" customWidth="1"/>
    <col min="3" max="3" width="33.28515625" style="46" bestFit="1" customWidth="1"/>
    <col min="4" max="4" width="29.5703125" style="46" bestFit="1" customWidth="1"/>
    <col min="5" max="5" width="24.42578125" style="46" bestFit="1" customWidth="1"/>
    <col min="6" max="6" width="27.5703125" style="46" bestFit="1" customWidth="1"/>
    <col min="7" max="8" width="26.140625" style="46" bestFit="1" customWidth="1"/>
    <col min="9" max="9" width="38.140625" style="46" bestFit="1" customWidth="1"/>
    <col min="10" max="10" width="11.42578125" style="46" customWidth="1"/>
    <col min="11" max="11" width="82.42578125" style="46" bestFit="1" customWidth="1"/>
    <col min="12" max="12" width="38.140625" style="46" bestFit="1" customWidth="1"/>
    <col min="13" max="13" width="33.28515625" style="46" bestFit="1" customWidth="1"/>
    <col min="14" max="14" width="29.5703125" style="46" bestFit="1" customWidth="1"/>
    <col min="15" max="15" width="24.7109375" style="46" customWidth="1"/>
    <col min="16" max="18" width="27" style="46" bestFit="1" customWidth="1"/>
    <col min="19" max="19" width="38.140625" style="46" bestFit="1" customWidth="1"/>
    <col min="20" max="20" width="11.28515625" style="46" customWidth="1"/>
    <col min="21" max="21" width="68" style="46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39" bestFit="1" customWidth="1"/>
    <col min="28" max="28" width="4.28515625" style="39" customWidth="1"/>
    <col min="29" max="29" width="21.140625" style="40" bestFit="1" customWidth="1"/>
    <col min="30" max="30" width="4.28515625" style="39" customWidth="1"/>
    <col min="31" max="31" width="23" style="40" bestFit="1" customWidth="1"/>
  </cols>
  <sheetData>
    <row r="1" spans="1:31" ht="24.95" customHeight="1" x14ac:dyDescent="0.25">
      <c r="A1" s="236" t="s">
        <v>417</v>
      </c>
      <c r="B1" s="236"/>
      <c r="C1" s="236"/>
      <c r="D1" s="236"/>
      <c r="E1" s="236"/>
      <c r="F1" s="236"/>
      <c r="G1" s="236"/>
      <c r="H1" s="236"/>
      <c r="I1" s="236"/>
    </row>
    <row r="2" spans="1:31" ht="24.9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</row>
    <row r="3" spans="1:31" ht="24.95" customHeight="1" x14ac:dyDescent="0.25">
      <c r="A3" s="236"/>
      <c r="B3" s="236"/>
      <c r="C3" s="236"/>
      <c r="D3" s="236"/>
      <c r="E3" s="236"/>
      <c r="F3" s="236"/>
      <c r="G3" s="236"/>
      <c r="H3" s="236"/>
      <c r="I3" s="236"/>
    </row>
    <row r="4" spans="1:31" ht="24.95" customHeight="1" x14ac:dyDescent="0.25">
      <c r="A4" s="236"/>
      <c r="B4" s="236"/>
      <c r="C4" s="236"/>
      <c r="D4" s="236"/>
      <c r="E4" s="236"/>
      <c r="F4" s="236"/>
      <c r="G4" s="236"/>
      <c r="H4" s="236"/>
      <c r="I4" s="236"/>
    </row>
    <row r="5" spans="1:31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31" ht="40.5" customHeight="1" x14ac:dyDescent="0.7">
      <c r="A6" s="237" t="s">
        <v>351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</row>
    <row r="7" spans="1:31" ht="40.5" customHeight="1" x14ac:dyDescent="0.7">
      <c r="A7" s="237" t="s">
        <v>463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</row>
    <row r="8" spans="1:31" ht="14.25" customHeight="1" thickBot="1" x14ac:dyDescent="0.3"/>
    <row r="9" spans="1:31" s="45" customFormat="1" ht="55.5" customHeight="1" x14ac:dyDescent="0.7">
      <c r="A9" s="238">
        <v>2018</v>
      </c>
      <c r="B9" s="239"/>
      <c r="C9" s="239"/>
      <c r="D9" s="239"/>
      <c r="E9" s="239"/>
      <c r="F9" s="239"/>
      <c r="G9" s="239"/>
      <c r="H9" s="239"/>
      <c r="I9" s="240"/>
      <c r="J9" s="47"/>
      <c r="K9" s="238">
        <v>2017</v>
      </c>
      <c r="L9" s="239"/>
      <c r="M9" s="239"/>
      <c r="N9" s="239"/>
      <c r="O9" s="239"/>
      <c r="P9" s="239"/>
      <c r="Q9" s="239"/>
      <c r="R9" s="239"/>
      <c r="S9" s="240"/>
      <c r="T9" s="89"/>
      <c r="U9" s="241" t="s">
        <v>410</v>
      </c>
      <c r="V9" s="242"/>
      <c r="W9" s="242"/>
      <c r="X9" s="242"/>
      <c r="Y9" s="242"/>
      <c r="Z9" s="242"/>
      <c r="AA9" s="242"/>
      <c r="AB9" s="242"/>
      <c r="AC9" s="242"/>
      <c r="AD9" s="242"/>
      <c r="AE9" s="243"/>
    </row>
    <row r="10" spans="1:31" s="45" customFormat="1" ht="30" customHeight="1" x14ac:dyDescent="0.5">
      <c r="A10" s="230" t="s">
        <v>411</v>
      </c>
      <c r="B10" s="231"/>
      <c r="C10" s="231"/>
      <c r="D10" s="231"/>
      <c r="E10" s="231"/>
      <c r="F10" s="231"/>
      <c r="G10" s="231"/>
      <c r="H10" s="231"/>
      <c r="I10" s="232"/>
      <c r="J10" s="47"/>
      <c r="K10" s="230" t="s">
        <v>411</v>
      </c>
      <c r="L10" s="231"/>
      <c r="M10" s="231"/>
      <c r="N10" s="231"/>
      <c r="O10" s="231"/>
      <c r="P10" s="231"/>
      <c r="Q10" s="231"/>
      <c r="R10" s="231"/>
      <c r="S10" s="232"/>
      <c r="T10" s="88"/>
      <c r="U10" s="244"/>
      <c r="V10" s="245"/>
      <c r="W10" s="245"/>
      <c r="X10" s="245"/>
      <c r="Y10" s="245"/>
      <c r="Z10" s="245"/>
      <c r="AA10" s="245"/>
      <c r="AB10" s="245"/>
      <c r="AC10" s="245"/>
      <c r="AD10" s="245"/>
      <c r="AE10" s="246"/>
    </row>
    <row r="11" spans="1:31" s="45" customFormat="1" ht="30" customHeight="1" x14ac:dyDescent="0.5">
      <c r="A11" s="230" t="s">
        <v>350</v>
      </c>
      <c r="B11" s="231"/>
      <c r="C11" s="231"/>
      <c r="D11" s="231"/>
      <c r="E11" s="231"/>
      <c r="F11" s="231"/>
      <c r="G11" s="231"/>
      <c r="H11" s="231"/>
      <c r="I11" s="232"/>
      <c r="J11" s="47"/>
      <c r="K11" s="230" t="s">
        <v>350</v>
      </c>
      <c r="L11" s="231"/>
      <c r="M11" s="231"/>
      <c r="N11" s="231"/>
      <c r="O11" s="231"/>
      <c r="P11" s="231"/>
      <c r="Q11" s="231"/>
      <c r="R11" s="231"/>
      <c r="S11" s="232"/>
      <c r="T11" s="88"/>
      <c r="U11" s="244"/>
      <c r="V11" s="245"/>
      <c r="W11" s="245"/>
      <c r="X11" s="245"/>
      <c r="Y11" s="245"/>
      <c r="Z11" s="245"/>
      <c r="AA11" s="245"/>
      <c r="AB11" s="245"/>
      <c r="AC11" s="245"/>
      <c r="AD11" s="245"/>
      <c r="AE11" s="246"/>
    </row>
    <row r="12" spans="1:31" s="45" customFormat="1" ht="30" customHeight="1" thickBot="1" x14ac:dyDescent="0.55000000000000004">
      <c r="A12" s="233">
        <v>43343</v>
      </c>
      <c r="B12" s="234"/>
      <c r="C12" s="234"/>
      <c r="D12" s="234"/>
      <c r="E12" s="234"/>
      <c r="F12" s="234"/>
      <c r="G12" s="234"/>
      <c r="H12" s="234"/>
      <c r="I12" s="235"/>
      <c r="J12" s="47"/>
      <c r="K12" s="233">
        <v>42978</v>
      </c>
      <c r="L12" s="234"/>
      <c r="M12" s="234"/>
      <c r="N12" s="234"/>
      <c r="O12" s="234"/>
      <c r="P12" s="234"/>
      <c r="Q12" s="234"/>
      <c r="R12" s="234"/>
      <c r="S12" s="235"/>
      <c r="T12" s="88"/>
      <c r="U12" s="247"/>
      <c r="V12" s="248"/>
      <c r="W12" s="248"/>
      <c r="X12" s="248"/>
      <c r="Y12" s="248"/>
      <c r="Z12" s="248"/>
      <c r="AA12" s="248"/>
      <c r="AB12" s="248"/>
      <c r="AC12" s="248"/>
      <c r="AD12" s="248"/>
      <c r="AE12" s="249"/>
    </row>
    <row r="13" spans="1:31" s="54" customFormat="1" ht="24.75" customHeight="1" x14ac:dyDescent="0.5">
      <c r="A13" s="51"/>
      <c r="B13" s="52"/>
      <c r="C13" s="52"/>
      <c r="D13" s="52"/>
      <c r="E13" s="52"/>
      <c r="F13" s="52"/>
      <c r="G13" s="52"/>
      <c r="H13" s="52"/>
      <c r="I13" s="52"/>
      <c r="J13" s="53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W13" s="55"/>
      <c r="Y13" s="55"/>
      <c r="AA13" s="55"/>
      <c r="AB13" s="55"/>
      <c r="AC13" s="55"/>
      <c r="AD13" s="55"/>
      <c r="AE13" s="55"/>
    </row>
    <row r="14" spans="1:31" s="54" customFormat="1" ht="24.75" customHeight="1" x14ac:dyDescent="0.5">
      <c r="B14" s="53"/>
      <c r="C14" s="53"/>
      <c r="D14" s="53"/>
      <c r="E14" s="53"/>
      <c r="F14" s="53"/>
      <c r="G14" s="53"/>
      <c r="H14" s="53"/>
      <c r="I14" s="53"/>
      <c r="J14" s="52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1"/>
      <c r="W14" s="57"/>
      <c r="X14" s="51"/>
      <c r="Y14" s="57"/>
      <c r="Z14" s="51"/>
      <c r="AA14" s="57"/>
      <c r="AB14" s="57"/>
      <c r="AC14" s="58"/>
      <c r="AD14" s="57"/>
      <c r="AE14" s="58"/>
    </row>
    <row r="15" spans="1:31" s="54" customFormat="1" ht="24.75" customHeight="1" x14ac:dyDescent="0.5">
      <c r="B15" s="53"/>
      <c r="C15" s="53"/>
      <c r="D15" s="53"/>
      <c r="E15" s="53"/>
      <c r="F15" s="53"/>
      <c r="G15" s="53"/>
      <c r="H15" s="53"/>
      <c r="I15" s="53"/>
      <c r="J15" s="52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1"/>
      <c r="W15" s="57"/>
      <c r="X15" s="51"/>
      <c r="Y15" s="57"/>
      <c r="Z15" s="51"/>
      <c r="AA15" s="57"/>
      <c r="AB15" s="57"/>
      <c r="AC15" s="51" t="s">
        <v>344</v>
      </c>
      <c r="AD15" s="57"/>
      <c r="AE15" s="58"/>
    </row>
    <row r="16" spans="1:31" s="54" customFormat="1" ht="24.75" customHeight="1" x14ac:dyDescent="0.5">
      <c r="B16" s="53"/>
      <c r="C16" s="53"/>
      <c r="D16" s="53"/>
      <c r="E16" s="53"/>
      <c r="F16" s="53"/>
      <c r="G16" s="53"/>
      <c r="H16" s="53"/>
      <c r="I16" s="53"/>
      <c r="J16" s="52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1"/>
      <c r="W16" s="51"/>
      <c r="X16" s="51"/>
      <c r="Y16" s="51"/>
      <c r="Z16" s="51"/>
      <c r="AA16" s="51" t="s">
        <v>344</v>
      </c>
      <c r="AB16" s="88"/>
      <c r="AC16" s="58" t="s">
        <v>347</v>
      </c>
      <c r="AD16" s="51"/>
      <c r="AE16" s="51" t="s">
        <v>346</v>
      </c>
    </row>
    <row r="17" spans="1:31" s="54" customFormat="1" ht="24.75" customHeight="1" x14ac:dyDescent="0.5">
      <c r="B17" s="53"/>
      <c r="C17" s="53"/>
      <c r="D17" s="53"/>
      <c r="E17" s="53"/>
      <c r="F17" s="53"/>
      <c r="G17" s="53"/>
      <c r="H17" s="53"/>
      <c r="I17" s="52" t="s">
        <v>208</v>
      </c>
      <c r="J17" s="52"/>
      <c r="K17" s="53"/>
      <c r="L17" s="53"/>
      <c r="M17" s="53"/>
      <c r="N17" s="53"/>
      <c r="O17" s="53"/>
      <c r="P17" s="53"/>
      <c r="Q17" s="53"/>
      <c r="R17" s="53"/>
      <c r="S17" s="52" t="s">
        <v>208</v>
      </c>
      <c r="T17" s="52"/>
      <c r="U17" s="53"/>
      <c r="V17" s="51"/>
      <c r="W17" s="51">
        <v>2018</v>
      </c>
      <c r="X17" s="51"/>
      <c r="Y17" s="51">
        <v>2017</v>
      </c>
      <c r="Z17" s="51"/>
      <c r="AA17" s="51" t="s">
        <v>345</v>
      </c>
      <c r="AB17" s="88"/>
      <c r="AC17" s="51" t="s">
        <v>345</v>
      </c>
      <c r="AD17" s="51"/>
      <c r="AE17" s="51" t="s">
        <v>348</v>
      </c>
    </row>
    <row r="18" spans="1:31" s="54" customFormat="1" ht="24.75" customHeight="1" x14ac:dyDescent="0.5">
      <c r="B18" s="59" t="s">
        <v>213</v>
      </c>
      <c r="C18" s="59" t="s">
        <v>215</v>
      </c>
      <c r="D18" s="59" t="s">
        <v>214</v>
      </c>
      <c r="E18" s="59" t="s">
        <v>216</v>
      </c>
      <c r="F18" s="59" t="s">
        <v>217</v>
      </c>
      <c r="G18" s="59" t="s">
        <v>412</v>
      </c>
      <c r="H18" s="59" t="s">
        <v>425</v>
      </c>
      <c r="I18" s="59">
        <v>2018</v>
      </c>
      <c r="J18" s="60"/>
      <c r="K18" s="53"/>
      <c r="L18" s="59" t="s">
        <v>213</v>
      </c>
      <c r="M18" s="59" t="s">
        <v>215</v>
      </c>
      <c r="N18" s="59" t="s">
        <v>214</v>
      </c>
      <c r="O18" s="59" t="s">
        <v>216</v>
      </c>
      <c r="P18" s="59" t="s">
        <v>217</v>
      </c>
      <c r="Q18" s="59" t="s">
        <v>412</v>
      </c>
      <c r="R18" s="59" t="s">
        <v>425</v>
      </c>
      <c r="S18" s="59">
        <v>2017</v>
      </c>
      <c r="T18" s="60"/>
      <c r="U18" s="53"/>
      <c r="V18" s="60"/>
      <c r="W18" s="87"/>
      <c r="X18" s="60"/>
      <c r="Y18" s="87"/>
      <c r="Z18" s="60"/>
      <c r="AA18" s="87" t="s">
        <v>342</v>
      </c>
      <c r="AB18" s="88"/>
      <c r="AC18" s="87" t="s">
        <v>343</v>
      </c>
      <c r="AD18" s="87"/>
      <c r="AE18" s="87" t="s">
        <v>343</v>
      </c>
    </row>
    <row r="19" spans="1:31" s="54" customFormat="1" ht="30" customHeight="1" x14ac:dyDescent="0.5">
      <c r="A19" s="61" t="s">
        <v>62</v>
      </c>
      <c r="B19" s="53"/>
      <c r="C19" s="53"/>
      <c r="D19" s="53"/>
      <c r="E19" s="53"/>
      <c r="F19" s="53"/>
      <c r="G19" s="53"/>
      <c r="H19" s="53"/>
      <c r="I19" s="53"/>
      <c r="J19" s="53"/>
      <c r="K19" s="62" t="s">
        <v>62</v>
      </c>
      <c r="L19" s="53"/>
      <c r="M19" s="53"/>
      <c r="N19" s="53"/>
      <c r="O19" s="53"/>
      <c r="P19" s="53"/>
      <c r="Q19" s="53"/>
      <c r="R19" s="53"/>
      <c r="S19" s="53"/>
      <c r="T19" s="53"/>
      <c r="U19" s="62" t="s">
        <v>62</v>
      </c>
      <c r="AB19" s="92"/>
      <c r="AC19" s="58"/>
      <c r="AE19" s="58"/>
    </row>
    <row r="20" spans="1:31" s="54" customFormat="1" ht="30" customHeight="1" x14ac:dyDescent="0.5">
      <c r="A20" s="54" t="s">
        <v>415</v>
      </c>
      <c r="B20" s="63">
        <f>'Comparative YTD 2018-2017 Aug'!B23</f>
        <v>3780555402.6500001</v>
      </c>
      <c r="C20" s="63">
        <f>'Comparative YTD 2018-2017 Aug'!C23</f>
        <v>63128358.089999996</v>
      </c>
      <c r="D20" s="63">
        <f>'Comparative YTD 2018-2017 Aug'!D23</f>
        <v>1651434.8699999999</v>
      </c>
      <c r="E20" s="63">
        <f>'Comparative YTD 2018-2017 Aug'!E23</f>
        <v>0</v>
      </c>
      <c r="F20" s="63">
        <f>'Comparative YTD 2018-2017 Aug'!F23</f>
        <v>539066.97000000009</v>
      </c>
      <c r="G20" s="63">
        <f>'Comparative YTD 2018-2017 Aug'!G23</f>
        <v>0</v>
      </c>
      <c r="H20" s="63">
        <f>'Comparative YTD 2018-2017 Aug'!H23</f>
        <v>0</v>
      </c>
      <c r="I20" s="63">
        <f>SUM(B20:H20)</f>
        <v>3845874262.5799999</v>
      </c>
      <c r="J20" s="64"/>
      <c r="K20" s="54" t="s">
        <v>415</v>
      </c>
      <c r="L20" s="63">
        <f>'Comparative YTD 2018-2017 Aug'!M23</f>
        <v>2578124864.6699991</v>
      </c>
      <c r="M20" s="63">
        <f>'Comparative YTD 2018-2017 Aug'!N23</f>
        <v>32437816.850000001</v>
      </c>
      <c r="N20" s="63">
        <f>'Comparative YTD 2018-2017 Aug'!O23</f>
        <v>1325754.8400000001</v>
      </c>
      <c r="O20" s="63">
        <f>'Comparative YTD 2018-2017 Aug'!P23</f>
        <v>0</v>
      </c>
      <c r="P20" s="63">
        <f>'Comparative YTD 2018-2017 Aug'!Q23</f>
        <v>550146.02</v>
      </c>
      <c r="Q20" s="63">
        <f>'Comparative YTD 2018-2017 Aug'!R23</f>
        <v>0</v>
      </c>
      <c r="R20" s="63">
        <f>'Comparative YTD 2018-2017 Aug'!S23</f>
        <v>0</v>
      </c>
      <c r="S20" s="63">
        <f t="shared" ref="S20:S27" si="0">SUM(L20:R20)</f>
        <v>2612438582.3799992</v>
      </c>
      <c r="T20" s="63"/>
      <c r="U20" s="54" t="s">
        <v>415</v>
      </c>
      <c r="V20" s="65"/>
      <c r="W20" s="66">
        <f>I20</f>
        <v>3845874262.5799999</v>
      </c>
      <c r="X20" s="65"/>
      <c r="Y20" s="66">
        <f t="shared" ref="Y20:Y27" si="1">S20</f>
        <v>2612438582.3799992</v>
      </c>
      <c r="Z20" s="65"/>
      <c r="AA20" s="66">
        <f>I20-S20</f>
        <v>1233435680.2000008</v>
      </c>
      <c r="AB20" s="93"/>
      <c r="AC20" s="65">
        <f>I20/S20</f>
        <v>1.4721395896229297</v>
      </c>
      <c r="AD20" s="66"/>
      <c r="AE20" s="65">
        <f>AC20-1</f>
        <v>0.47213958962292968</v>
      </c>
    </row>
    <row r="21" spans="1:31" s="54" customFormat="1" ht="30" customHeight="1" x14ac:dyDescent="0.5">
      <c r="A21" s="61" t="s">
        <v>224</v>
      </c>
      <c r="B21" s="67">
        <f t="shared" ref="B21:H21" si="2">SUM(B20:B20)</f>
        <v>3780555402.6500001</v>
      </c>
      <c r="C21" s="67">
        <f t="shared" si="2"/>
        <v>63128358.089999996</v>
      </c>
      <c r="D21" s="67">
        <f t="shared" si="2"/>
        <v>1651434.8699999999</v>
      </c>
      <c r="E21" s="67">
        <f t="shared" si="2"/>
        <v>0</v>
      </c>
      <c r="F21" s="67">
        <f t="shared" si="2"/>
        <v>539066.97000000009</v>
      </c>
      <c r="G21" s="67">
        <f t="shared" si="2"/>
        <v>0</v>
      </c>
      <c r="H21" s="67">
        <f t="shared" si="2"/>
        <v>0</v>
      </c>
      <c r="I21" s="67">
        <f>SUM(B21:H21)</f>
        <v>3845874262.5799999</v>
      </c>
      <c r="J21" s="68"/>
      <c r="K21" s="62" t="s">
        <v>224</v>
      </c>
      <c r="L21" s="67">
        <f>SUM(L20:L20)</f>
        <v>2578124864.6699991</v>
      </c>
      <c r="M21" s="67">
        <f t="shared" ref="M21:R21" si="3">SUM(M20:M20)</f>
        <v>32437816.850000001</v>
      </c>
      <c r="N21" s="67">
        <f t="shared" si="3"/>
        <v>1325754.8400000001</v>
      </c>
      <c r="O21" s="67">
        <f t="shared" si="3"/>
        <v>0</v>
      </c>
      <c r="P21" s="67">
        <f t="shared" si="3"/>
        <v>550146.02</v>
      </c>
      <c r="Q21" s="67">
        <f>SUM(Q20:Q20)</f>
        <v>0</v>
      </c>
      <c r="R21" s="67">
        <f t="shared" si="3"/>
        <v>0</v>
      </c>
      <c r="S21" s="67">
        <f t="shared" si="0"/>
        <v>2612438582.3799992</v>
      </c>
      <c r="T21" s="90"/>
      <c r="U21" s="62" t="s">
        <v>224</v>
      </c>
      <c r="V21" s="70"/>
      <c r="W21" s="71">
        <f>I21</f>
        <v>3845874262.5799999</v>
      </c>
      <c r="X21" s="70"/>
      <c r="Y21" s="71">
        <f t="shared" si="1"/>
        <v>2612438582.3799992</v>
      </c>
      <c r="Z21" s="70"/>
      <c r="AA21" s="71">
        <f>I21-S21</f>
        <v>1233435680.2000008</v>
      </c>
      <c r="AB21" s="93"/>
      <c r="AC21" s="69">
        <f>I21/S21</f>
        <v>1.4721395896229297</v>
      </c>
      <c r="AD21" s="71"/>
      <c r="AE21" s="69">
        <f t="shared" ref="AE21:AE27" si="4">AC21-1</f>
        <v>0.47213958962292968</v>
      </c>
    </row>
    <row r="22" spans="1:31" s="54" customFormat="1" ht="30" customHeight="1" x14ac:dyDescent="0.5">
      <c r="B22" s="63"/>
      <c r="C22" s="63"/>
      <c r="D22" s="63"/>
      <c r="E22" s="63"/>
      <c r="F22" s="63"/>
      <c r="G22" s="63"/>
      <c r="H22" s="63"/>
      <c r="I22" s="63">
        <f>SUM(B22:H22)</f>
        <v>0</v>
      </c>
      <c r="J22" s="53"/>
      <c r="K22" s="53"/>
      <c r="L22" s="63"/>
      <c r="M22" s="63"/>
      <c r="N22" s="63"/>
      <c r="O22" s="63"/>
      <c r="P22" s="63"/>
      <c r="Q22" s="63"/>
      <c r="R22" s="63"/>
      <c r="S22" s="63">
        <f t="shared" si="0"/>
        <v>0</v>
      </c>
      <c r="T22" s="63"/>
      <c r="U22" s="53"/>
      <c r="W22" s="66"/>
      <c r="Y22" s="66">
        <f t="shared" si="1"/>
        <v>0</v>
      </c>
      <c r="AA22" s="66"/>
      <c r="AB22" s="93"/>
      <c r="AC22" s="72"/>
      <c r="AD22" s="66"/>
      <c r="AE22" s="72"/>
    </row>
    <row r="23" spans="1:31" s="54" customFormat="1" ht="30" customHeight="1" x14ac:dyDescent="0.5">
      <c r="A23" s="61" t="s">
        <v>209</v>
      </c>
      <c r="B23" s="63"/>
      <c r="C23" s="63"/>
      <c r="D23" s="63"/>
      <c r="E23" s="63"/>
      <c r="F23" s="63"/>
      <c r="G23" s="63"/>
      <c r="H23" s="63"/>
      <c r="I23" s="63">
        <f>SUM(B23:H23)</f>
        <v>0</v>
      </c>
      <c r="J23" s="53"/>
      <c r="K23" s="62" t="s">
        <v>209</v>
      </c>
      <c r="L23" s="63"/>
      <c r="M23" s="63"/>
      <c r="N23" s="63"/>
      <c r="O23" s="63"/>
      <c r="P23" s="63"/>
      <c r="Q23" s="63"/>
      <c r="R23" s="63"/>
      <c r="S23" s="63">
        <f t="shared" si="0"/>
        <v>0</v>
      </c>
      <c r="T23" s="63"/>
      <c r="U23" s="62" t="s">
        <v>209</v>
      </c>
      <c r="W23" s="66"/>
      <c r="Y23" s="66">
        <f t="shared" si="1"/>
        <v>0</v>
      </c>
      <c r="AA23" s="66"/>
      <c r="AB23" s="93"/>
      <c r="AC23" s="72"/>
      <c r="AD23" s="66"/>
      <c r="AE23" s="72"/>
    </row>
    <row r="24" spans="1:31" s="54" customFormat="1" ht="30" customHeight="1" x14ac:dyDescent="0.5">
      <c r="A24" s="54" t="s">
        <v>416</v>
      </c>
      <c r="B24" s="63">
        <f>'Comparative YTD 2018-2017 Aug'!B33</f>
        <v>3776320382.6999989</v>
      </c>
      <c r="C24" s="63">
        <f>'Comparative YTD 2018-2017 Aug'!C33</f>
        <v>62307638.309999995</v>
      </c>
      <c r="D24" s="63">
        <f>'Comparative YTD 2018-2017 Aug'!D33</f>
        <v>217282.57</v>
      </c>
      <c r="E24" s="63">
        <f>'Comparative YTD 2018-2017 Aug'!E33</f>
        <v>0</v>
      </c>
      <c r="F24" s="63">
        <f>'Comparative YTD 2018-2017 Aug'!F33</f>
        <v>1648.2199999999998</v>
      </c>
      <c r="G24" s="63">
        <f>'Comparative YTD 2018-2017 Aug'!G33</f>
        <v>0</v>
      </c>
      <c r="H24" s="63">
        <f>'Comparative YTD 2018-2017 Aug'!H33</f>
        <v>0</v>
      </c>
      <c r="I24" s="63">
        <f>'Comparative YTD 2018-2017 Aug'!I33</f>
        <v>3838846951.7999988</v>
      </c>
      <c r="J24" s="64"/>
      <c r="K24" s="54" t="s">
        <v>416</v>
      </c>
      <c r="L24" s="63">
        <f>'Comparative YTD 2018-2017 Aug'!M33</f>
        <v>2574232465.5700002</v>
      </c>
      <c r="M24" s="63">
        <f>'Comparative YTD 2018-2017 Aug'!N33</f>
        <v>31982271.719999995</v>
      </c>
      <c r="N24" s="63">
        <f>'Comparative YTD 2018-2017 Aug'!O33</f>
        <v>177636.93</v>
      </c>
      <c r="O24" s="63">
        <f>'Comparative YTD 2018-2017 Aug'!P33</f>
        <v>0</v>
      </c>
      <c r="P24" s="63">
        <f>'Comparative YTD 2018-2017 Aug'!Q33</f>
        <v>918.27</v>
      </c>
      <c r="Q24" s="63">
        <f>'Comparative YTD 2018-2017 Aug'!R33</f>
        <v>0</v>
      </c>
      <c r="R24" s="63">
        <f>'Comparative YTD 2018-2017 Aug'!S33</f>
        <v>0</v>
      </c>
      <c r="S24" s="63">
        <f t="shared" si="0"/>
        <v>2606393292.4899998</v>
      </c>
      <c r="T24" s="63"/>
      <c r="U24" s="54" t="s">
        <v>416</v>
      </c>
      <c r="V24" s="65"/>
      <c r="W24" s="66">
        <f>I24</f>
        <v>3838846951.7999988</v>
      </c>
      <c r="X24" s="65"/>
      <c r="Y24" s="66">
        <f t="shared" si="1"/>
        <v>2606393292.4899998</v>
      </c>
      <c r="Z24" s="65"/>
      <c r="AA24" s="66">
        <f>I24-S24</f>
        <v>1232453659.309999</v>
      </c>
      <c r="AB24" s="93"/>
      <c r="AC24" s="65">
        <f>I24/S24</f>
        <v>1.4728579001723039</v>
      </c>
      <c r="AD24" s="66"/>
      <c r="AE24" s="65">
        <f t="shared" si="4"/>
        <v>0.47285790017230389</v>
      </c>
    </row>
    <row r="25" spans="1:31" s="54" customFormat="1" ht="30" customHeight="1" x14ac:dyDescent="0.5">
      <c r="A25" s="61" t="s">
        <v>225</v>
      </c>
      <c r="B25" s="67">
        <f t="shared" ref="B25:H25" si="5">SUM(B24:B24)</f>
        <v>3776320382.6999989</v>
      </c>
      <c r="C25" s="67">
        <f t="shared" si="5"/>
        <v>62307638.309999995</v>
      </c>
      <c r="D25" s="67">
        <f t="shared" si="5"/>
        <v>217282.57</v>
      </c>
      <c r="E25" s="67">
        <f t="shared" si="5"/>
        <v>0</v>
      </c>
      <c r="F25" s="67">
        <f t="shared" si="5"/>
        <v>1648.2199999999998</v>
      </c>
      <c r="G25" s="67">
        <f t="shared" si="5"/>
        <v>0</v>
      </c>
      <c r="H25" s="67">
        <f t="shared" si="5"/>
        <v>0</v>
      </c>
      <c r="I25" s="67">
        <f t="shared" ref="I25:I31" si="6">SUM(B25:H25)</f>
        <v>3838846951.7999988</v>
      </c>
      <c r="J25" s="68"/>
      <c r="K25" s="62" t="s">
        <v>225</v>
      </c>
      <c r="L25" s="67">
        <f t="shared" ref="L25:R25" si="7">SUM(L24:L24)</f>
        <v>2574232465.5700002</v>
      </c>
      <c r="M25" s="67">
        <f t="shared" si="7"/>
        <v>31982271.719999995</v>
      </c>
      <c r="N25" s="67">
        <f t="shared" si="7"/>
        <v>177636.93</v>
      </c>
      <c r="O25" s="67">
        <f t="shared" si="7"/>
        <v>0</v>
      </c>
      <c r="P25" s="67">
        <f t="shared" si="7"/>
        <v>918.27</v>
      </c>
      <c r="Q25" s="67">
        <f t="shared" si="7"/>
        <v>0</v>
      </c>
      <c r="R25" s="67">
        <f t="shared" si="7"/>
        <v>0</v>
      </c>
      <c r="S25" s="67">
        <f t="shared" si="0"/>
        <v>2606393292.4899998</v>
      </c>
      <c r="T25" s="90"/>
      <c r="U25" s="62" t="s">
        <v>225</v>
      </c>
      <c r="V25" s="70"/>
      <c r="W25" s="71">
        <f>I25</f>
        <v>3838846951.7999988</v>
      </c>
      <c r="X25" s="70"/>
      <c r="Y25" s="71">
        <f t="shared" si="1"/>
        <v>2606393292.4899998</v>
      </c>
      <c r="Z25" s="70"/>
      <c r="AA25" s="71">
        <f>SUM(AA24:AA24)</f>
        <v>1232453659.309999</v>
      </c>
      <c r="AB25" s="93"/>
      <c r="AC25" s="69">
        <f>I25/S25</f>
        <v>1.4728579001723039</v>
      </c>
      <c r="AD25" s="71"/>
      <c r="AE25" s="69">
        <f t="shared" si="4"/>
        <v>0.47285790017230389</v>
      </c>
    </row>
    <row r="26" spans="1:31" s="54" customFormat="1" ht="30" customHeight="1" x14ac:dyDescent="0.5">
      <c r="B26" s="63"/>
      <c r="C26" s="63"/>
      <c r="D26" s="63"/>
      <c r="E26" s="63"/>
      <c r="F26" s="63"/>
      <c r="G26" s="63"/>
      <c r="H26" s="63"/>
      <c r="I26" s="63">
        <f t="shared" si="6"/>
        <v>0</v>
      </c>
      <c r="J26" s="53"/>
      <c r="K26" s="53"/>
      <c r="L26" s="63"/>
      <c r="M26" s="63"/>
      <c r="N26" s="63"/>
      <c r="O26" s="63"/>
      <c r="P26" s="63"/>
      <c r="Q26" s="63"/>
      <c r="R26" s="63"/>
      <c r="S26" s="63">
        <f t="shared" si="0"/>
        <v>0</v>
      </c>
      <c r="T26" s="63"/>
      <c r="U26" s="53"/>
      <c r="W26" s="66">
        <f>I26</f>
        <v>0</v>
      </c>
      <c r="Y26" s="66">
        <f t="shared" si="1"/>
        <v>0</v>
      </c>
      <c r="AA26" s="66"/>
      <c r="AB26" s="93"/>
      <c r="AC26" s="65"/>
      <c r="AD26" s="66"/>
      <c r="AE26" s="65"/>
    </row>
    <row r="27" spans="1:31" s="54" customFormat="1" ht="30" customHeight="1" thickBot="1" x14ac:dyDescent="0.55000000000000004">
      <c r="A27" s="61" t="s">
        <v>212</v>
      </c>
      <c r="B27" s="73">
        <f t="shared" ref="B27:H27" si="8">B21-B25</f>
        <v>4235019.9500012398</v>
      </c>
      <c r="C27" s="73">
        <f t="shared" si="8"/>
        <v>820719.78000000119</v>
      </c>
      <c r="D27" s="73">
        <f t="shared" si="8"/>
        <v>1434152.2999999998</v>
      </c>
      <c r="E27" s="73">
        <f t="shared" si="8"/>
        <v>0</v>
      </c>
      <c r="F27" s="73">
        <f t="shared" si="8"/>
        <v>537418.75000000012</v>
      </c>
      <c r="G27" s="73">
        <f>G21-G25</f>
        <v>0</v>
      </c>
      <c r="H27" s="73">
        <f t="shared" si="8"/>
        <v>0</v>
      </c>
      <c r="I27" s="73">
        <f t="shared" si="6"/>
        <v>7027310.7800012408</v>
      </c>
      <c r="J27" s="53"/>
      <c r="K27" s="62" t="s">
        <v>212</v>
      </c>
      <c r="L27" s="73">
        <f t="shared" ref="L27:R27" si="9">L21-L25</f>
        <v>3892399.099998951</v>
      </c>
      <c r="M27" s="73">
        <f t="shared" si="9"/>
        <v>455545.13000000641</v>
      </c>
      <c r="N27" s="73">
        <f t="shared" si="9"/>
        <v>1148117.9100000001</v>
      </c>
      <c r="O27" s="73">
        <f t="shared" si="9"/>
        <v>0</v>
      </c>
      <c r="P27" s="73">
        <f t="shared" si="9"/>
        <v>549227.75</v>
      </c>
      <c r="Q27" s="73">
        <f>Q21-Q25</f>
        <v>0</v>
      </c>
      <c r="R27" s="73">
        <f t="shared" si="9"/>
        <v>0</v>
      </c>
      <c r="S27" s="73">
        <f t="shared" si="0"/>
        <v>6045289.8899989575</v>
      </c>
      <c r="T27" s="90"/>
      <c r="U27" s="62" t="s">
        <v>212</v>
      </c>
      <c r="W27" s="74">
        <f>I27</f>
        <v>7027310.7800012408</v>
      </c>
      <c r="Y27" s="74">
        <f t="shared" si="1"/>
        <v>6045289.8899989575</v>
      </c>
      <c r="AA27" s="74">
        <f>I27-S27</f>
        <v>982020.89000228327</v>
      </c>
      <c r="AB27" s="93"/>
      <c r="AC27" s="75">
        <f>I27/S27</f>
        <v>1.1624439700777447</v>
      </c>
      <c r="AD27" s="74"/>
      <c r="AE27" s="75">
        <f t="shared" si="4"/>
        <v>0.16244397007774469</v>
      </c>
    </row>
    <row r="28" spans="1:31" s="54" customFormat="1" ht="30" customHeight="1" x14ac:dyDescent="0.5">
      <c r="B28" s="63"/>
      <c r="C28" s="63"/>
      <c r="D28" s="63"/>
      <c r="E28" s="63"/>
      <c r="F28" s="63"/>
      <c r="G28" s="63"/>
      <c r="H28" s="63"/>
      <c r="I28" s="63">
        <f t="shared" si="6"/>
        <v>0</v>
      </c>
      <c r="J28" s="53"/>
      <c r="K28" s="53"/>
      <c r="L28" s="63"/>
      <c r="M28" s="63"/>
      <c r="N28" s="63"/>
      <c r="O28" s="63"/>
      <c r="P28" s="63"/>
      <c r="Q28" s="63"/>
      <c r="R28" s="63"/>
      <c r="S28" s="63"/>
      <c r="T28" s="63"/>
      <c r="U28" s="53"/>
      <c r="W28" s="66"/>
      <c r="Y28" s="66"/>
      <c r="AA28" s="66"/>
      <c r="AB28" s="93"/>
      <c r="AC28" s="72"/>
      <c r="AD28" s="66"/>
      <c r="AE28" s="72"/>
    </row>
    <row r="29" spans="1:31" s="54" customFormat="1" ht="30" customHeight="1" x14ac:dyDescent="0.5">
      <c r="A29" s="61" t="s">
        <v>210</v>
      </c>
      <c r="B29" s="63"/>
      <c r="C29" s="63"/>
      <c r="D29" s="63"/>
      <c r="E29" s="63"/>
      <c r="F29" s="63"/>
      <c r="G29" s="63"/>
      <c r="H29" s="63"/>
      <c r="I29" s="63">
        <f t="shared" si="6"/>
        <v>0</v>
      </c>
      <c r="J29" s="53"/>
      <c r="K29" s="62" t="s">
        <v>210</v>
      </c>
      <c r="L29" s="63"/>
      <c r="M29" s="63"/>
      <c r="N29" s="63"/>
      <c r="O29" s="63"/>
      <c r="P29" s="63"/>
      <c r="Q29" s="63"/>
      <c r="R29" s="63"/>
      <c r="S29" s="63"/>
      <c r="T29" s="63"/>
      <c r="U29" s="62" t="s">
        <v>210</v>
      </c>
      <c r="W29" s="66"/>
      <c r="Y29" s="66"/>
      <c r="AA29" s="66"/>
      <c r="AB29" s="93"/>
      <c r="AC29" s="72"/>
      <c r="AD29" s="66"/>
      <c r="AE29" s="72"/>
    </row>
    <row r="30" spans="1:31" s="54" customFormat="1" ht="30" customHeight="1" x14ac:dyDescent="0.5">
      <c r="A30" s="61" t="s">
        <v>226</v>
      </c>
      <c r="B30" s="63">
        <f>'Comparative YTD 2018-2017 Aug'!B49</f>
        <v>3113380.42</v>
      </c>
      <c r="C30" s="63">
        <f>'Comparative YTD 2018-2017 Aug'!C49</f>
        <v>0</v>
      </c>
      <c r="D30" s="63">
        <f>'Comparative YTD 2018-2017 Aug'!D49</f>
        <v>107599.29999999999</v>
      </c>
      <c r="E30" s="63">
        <f>'Comparative YTD 2018-2017 Aug'!E49</f>
        <v>0</v>
      </c>
      <c r="F30" s="63">
        <f>'Comparative YTD 2018-2017 Aug'!F49</f>
        <v>273562.52</v>
      </c>
      <c r="G30" s="63">
        <f>'Comparative YTD 2018-2017 Aug'!G49</f>
        <v>0</v>
      </c>
      <c r="H30" s="63">
        <f>'Comparative YTD 2018-2017 Aug'!H49</f>
        <v>0</v>
      </c>
      <c r="I30" s="63">
        <f t="shared" si="6"/>
        <v>3494542.2399999998</v>
      </c>
      <c r="J30" s="53"/>
      <c r="K30" s="62" t="s">
        <v>226</v>
      </c>
      <c r="L30" s="63">
        <f>'Comparative YTD 2018-2017 Aug'!M49</f>
        <v>3344251.74</v>
      </c>
      <c r="M30" s="63">
        <f>'Comparative YTD 2018-2017 Aug'!N49</f>
        <v>0</v>
      </c>
      <c r="N30" s="63">
        <f>'Comparative YTD 2018-2017 Aug'!O49</f>
        <v>158589.35</v>
      </c>
      <c r="O30" s="63">
        <f>'Comparative YTD 2018-2017 Aug'!P49</f>
        <v>0</v>
      </c>
      <c r="P30" s="63">
        <f>'Comparative YTD 2018-2017 Aug'!Q49</f>
        <v>279390.89</v>
      </c>
      <c r="Q30" s="63">
        <f>'Comparative YTD 2018-2017 Aug'!R49</f>
        <v>0</v>
      </c>
      <c r="R30" s="63">
        <f>'Comparative YTD 2018-2017 Aug'!S49</f>
        <v>0</v>
      </c>
      <c r="S30" s="63">
        <f>SUM(L30:R30)</f>
        <v>3782231.9800000004</v>
      </c>
      <c r="T30" s="63"/>
      <c r="U30" s="62" t="s">
        <v>226</v>
      </c>
      <c r="W30" s="66">
        <f>I30</f>
        <v>3494542.2399999998</v>
      </c>
      <c r="Y30" s="66">
        <f t="shared" ref="Y30:Y37" si="10">S30</f>
        <v>3782231.9800000004</v>
      </c>
      <c r="AA30" s="66">
        <f>I30-S30</f>
        <v>-287689.74000000069</v>
      </c>
      <c r="AB30" s="93"/>
      <c r="AC30" s="72">
        <f>I30/S30</f>
        <v>0.92393651644815278</v>
      </c>
      <c r="AD30" s="66"/>
      <c r="AE30" s="72">
        <f>AC30-1</f>
        <v>-7.6063483551847222E-2</v>
      </c>
    </row>
    <row r="31" spans="1:31" s="54" customFormat="1" ht="30" customHeight="1" x14ac:dyDescent="0.5">
      <c r="A31" s="61" t="s">
        <v>235</v>
      </c>
      <c r="B31" s="63">
        <f>'Comparative YTD 2018-2017 Aug'!B74</f>
        <v>1725215.9999999998</v>
      </c>
      <c r="C31" s="63">
        <f>'Comparative YTD 2018-2017 Aug'!C74</f>
        <v>10799.400000000001</v>
      </c>
      <c r="D31" s="63">
        <f>'Comparative YTD 2018-2017 Aug'!D74</f>
        <v>757168.60000000009</v>
      </c>
      <c r="E31" s="63">
        <f>'Comparative YTD 2018-2017 Aug'!E74</f>
        <v>109</v>
      </c>
      <c r="F31" s="63">
        <f>'Comparative YTD 2018-2017 Aug'!F74</f>
        <v>209332.35</v>
      </c>
      <c r="G31" s="63">
        <f>'Comparative YTD 2018-2017 Aug'!G74</f>
        <v>74530.160000000018</v>
      </c>
      <c r="H31" s="63">
        <f>'Comparative YTD 2018-2017 Aug'!H74</f>
        <v>118087.64</v>
      </c>
      <c r="I31" s="63">
        <f t="shared" si="6"/>
        <v>2895243.1500000004</v>
      </c>
      <c r="J31" s="53"/>
      <c r="K31" s="62" t="s">
        <v>235</v>
      </c>
      <c r="L31" s="63">
        <f>'Comparative YTD 2018-2017 Aug'!M74</f>
        <v>1114752.49</v>
      </c>
      <c r="M31" s="63">
        <f>'Comparative YTD 2018-2017 Aug'!N74</f>
        <v>15268.609999999999</v>
      </c>
      <c r="N31" s="63">
        <f>'Comparative YTD 2018-2017 Aug'!O74</f>
        <v>462884.66</v>
      </c>
      <c r="O31" s="63">
        <f>'Comparative YTD 2018-2017 Aug'!P74</f>
        <v>0</v>
      </c>
      <c r="P31" s="63">
        <f>'Comparative YTD 2018-2017 Aug'!Q74</f>
        <v>235687.43000000005</v>
      </c>
      <c r="Q31" s="63">
        <f>'Comparative YTD 2018-2017 Aug'!R74</f>
        <v>34050.04</v>
      </c>
      <c r="R31" s="63">
        <f>'Comparative YTD 2018-2017 Aug'!S74</f>
        <v>520</v>
      </c>
      <c r="S31" s="63">
        <f>SUM(L31:R31)</f>
        <v>1863163.23</v>
      </c>
      <c r="T31" s="63"/>
      <c r="U31" s="62" t="s">
        <v>235</v>
      </c>
      <c r="W31" s="66">
        <f>I31</f>
        <v>2895243.1500000004</v>
      </c>
      <c r="Y31" s="66">
        <f t="shared" si="10"/>
        <v>1863163.23</v>
      </c>
      <c r="AA31" s="66">
        <f>I31-S31</f>
        <v>1032079.9200000004</v>
      </c>
      <c r="AB31" s="93"/>
      <c r="AC31" s="72">
        <f>I31/S31</f>
        <v>1.5539396137610555</v>
      </c>
      <c r="AD31" s="66"/>
      <c r="AE31" s="72">
        <f>AC31-1</f>
        <v>0.55393961376105549</v>
      </c>
    </row>
    <row r="32" spans="1:31" s="54" customFormat="1" ht="30" customHeight="1" x14ac:dyDescent="0.5">
      <c r="A32" s="61" t="s">
        <v>252</v>
      </c>
      <c r="B32" s="63">
        <f>'Comparative YTD 2018-2017 Aug'!B96</f>
        <v>607208.79999999993</v>
      </c>
      <c r="C32" s="63">
        <f>'Comparative YTD 2018-2017 Aug'!C96</f>
        <v>59087.51</v>
      </c>
      <c r="D32" s="63">
        <f>'Comparative YTD 2018-2017 Aug'!D96</f>
        <v>70317.97</v>
      </c>
      <c r="E32" s="63">
        <f>'Comparative YTD 2018-2017 Aug'!E96</f>
        <v>10185.540000000001</v>
      </c>
      <c r="F32" s="63">
        <f>'Comparative YTD 2018-2017 Aug'!F96</f>
        <v>39763.200000000004</v>
      </c>
      <c r="G32" s="63">
        <f>'Comparative YTD 2018-2017 Aug'!G96</f>
        <v>2385</v>
      </c>
      <c r="H32" s="63">
        <f>'Comparative YTD 2018-2017 Aug'!H96</f>
        <v>622.5100000000001</v>
      </c>
      <c r="I32" s="63">
        <f>'Comparative YTD 2018-2017 Aug'!I96</f>
        <v>789570.52999999991</v>
      </c>
      <c r="J32" s="53"/>
      <c r="K32" s="62" t="s">
        <v>252</v>
      </c>
      <c r="L32" s="63">
        <f>'Comparative YTD 2018-2017 Aug'!M96</f>
        <v>534244.44999999995</v>
      </c>
      <c r="M32" s="63">
        <f>'Comparative YTD 2018-2017 Aug'!N96</f>
        <v>53198.100000000006</v>
      </c>
      <c r="N32" s="63">
        <f>'Comparative YTD 2018-2017 Aug'!O96</f>
        <v>67822.720000000001</v>
      </c>
      <c r="O32" s="63">
        <f>'Comparative YTD 2018-2017 Aug'!P96</f>
        <v>4260.7299999999996</v>
      </c>
      <c r="P32" s="63">
        <f>'Comparative YTD 2018-2017 Aug'!Q96</f>
        <v>42910.070000000007</v>
      </c>
      <c r="Q32" s="63">
        <f>'Comparative YTD 2018-2017 Aug'!R96</f>
        <v>13874</v>
      </c>
      <c r="R32" s="63">
        <f>'Comparative YTD 2018-2017 Aug'!S96</f>
        <v>2416.0100000000002</v>
      </c>
      <c r="S32" s="63">
        <f>SUM(L32:R32)</f>
        <v>718726.07999999984</v>
      </c>
      <c r="T32" s="63"/>
      <c r="U32" s="62" t="s">
        <v>252</v>
      </c>
      <c r="W32" s="66">
        <f>I32</f>
        <v>789570.52999999991</v>
      </c>
      <c r="Y32" s="66">
        <f t="shared" si="10"/>
        <v>718726.07999999984</v>
      </c>
      <c r="AA32" s="66">
        <f>I32-S32</f>
        <v>70844.45000000007</v>
      </c>
      <c r="AB32" s="93"/>
      <c r="AC32" s="72">
        <f>I32/S32</f>
        <v>1.0985694716963661</v>
      </c>
      <c r="AD32" s="66"/>
      <c r="AE32" s="72">
        <f>AC32-1</f>
        <v>9.8569471696366096E-2</v>
      </c>
    </row>
    <row r="33" spans="1:32" s="54" customFormat="1" ht="30" customHeight="1" thickBot="1" x14ac:dyDescent="0.55000000000000004">
      <c r="A33" s="61" t="s">
        <v>266</v>
      </c>
      <c r="B33" s="73">
        <f>SUM(B30:B32)</f>
        <v>5445805.2199999997</v>
      </c>
      <c r="C33" s="73">
        <f t="shared" ref="C33:I33" si="11">SUM(C30:C32)</f>
        <v>69886.91</v>
      </c>
      <c r="D33" s="73">
        <f t="shared" si="11"/>
        <v>935085.87000000011</v>
      </c>
      <c r="E33" s="73">
        <f t="shared" si="11"/>
        <v>10294.540000000001</v>
      </c>
      <c r="F33" s="73">
        <f t="shared" si="11"/>
        <v>522658.07</v>
      </c>
      <c r="G33" s="73">
        <f>SUM(G30:G32)</f>
        <v>76915.160000000018</v>
      </c>
      <c r="H33" s="73">
        <f t="shared" si="11"/>
        <v>118710.15</v>
      </c>
      <c r="I33" s="73">
        <f t="shared" si="11"/>
        <v>7179355.9200000009</v>
      </c>
      <c r="J33" s="53"/>
      <c r="K33" s="62" t="s">
        <v>266</v>
      </c>
      <c r="L33" s="73">
        <f>SUM(L30:L32)</f>
        <v>4993248.6800000006</v>
      </c>
      <c r="M33" s="73">
        <f t="shared" ref="M33:R33" si="12">SUM(M30:M32)</f>
        <v>68466.710000000006</v>
      </c>
      <c r="N33" s="73">
        <f t="shared" si="12"/>
        <v>689296.73</v>
      </c>
      <c r="O33" s="73">
        <f t="shared" si="12"/>
        <v>4260.7299999999996</v>
      </c>
      <c r="P33" s="73">
        <f t="shared" si="12"/>
        <v>557988.39000000013</v>
      </c>
      <c r="Q33" s="73">
        <f>SUM(Q30:Q32)</f>
        <v>47924.04</v>
      </c>
      <c r="R33" s="73">
        <f t="shared" si="12"/>
        <v>2936.01</v>
      </c>
      <c r="S33" s="73">
        <f>SUM(S30:S32)</f>
        <v>6364121.290000001</v>
      </c>
      <c r="T33" s="90"/>
      <c r="U33" s="62" t="s">
        <v>266</v>
      </c>
      <c r="W33" s="74">
        <f>I33</f>
        <v>7179355.9200000009</v>
      </c>
      <c r="Y33" s="74">
        <f t="shared" si="10"/>
        <v>6364121.290000001</v>
      </c>
      <c r="AA33" s="74">
        <f>I33-S33</f>
        <v>815234.62999999989</v>
      </c>
      <c r="AB33" s="93"/>
      <c r="AC33" s="76">
        <f>I33/S33</f>
        <v>1.1280985375437431</v>
      </c>
      <c r="AD33" s="74"/>
      <c r="AE33" s="76">
        <f>AC33-1</f>
        <v>0.12809853754374312</v>
      </c>
    </row>
    <row r="34" spans="1:32" s="54" customFormat="1" ht="30" customHeight="1" x14ac:dyDescent="0.5">
      <c r="B34" s="63"/>
      <c r="C34" s="63"/>
      <c r="D34" s="63"/>
      <c r="E34" s="63"/>
      <c r="F34" s="63"/>
      <c r="G34" s="63"/>
      <c r="H34" s="63"/>
      <c r="I34" s="63"/>
      <c r="J34" s="53"/>
      <c r="K34" s="53"/>
      <c r="L34" s="63"/>
      <c r="M34" s="63"/>
      <c r="N34" s="63"/>
      <c r="O34" s="63"/>
      <c r="P34" s="63"/>
      <c r="Q34" s="63"/>
      <c r="R34" s="63"/>
      <c r="S34" s="63"/>
      <c r="T34" s="63"/>
      <c r="U34" s="53"/>
      <c r="W34" s="57"/>
      <c r="Y34" s="57">
        <f t="shared" si="10"/>
        <v>0</v>
      </c>
      <c r="AA34" s="57"/>
      <c r="AB34" s="94"/>
      <c r="AC34" s="72"/>
      <c r="AD34" s="57"/>
      <c r="AE34" s="72"/>
    </row>
    <row r="35" spans="1:32" s="54" customFormat="1" ht="30" customHeight="1" x14ac:dyDescent="0.5">
      <c r="A35" s="61" t="s">
        <v>276</v>
      </c>
      <c r="B35" s="63">
        <f>'Comparative YTD 2018-2017 Aug'!B114</f>
        <v>654784.48</v>
      </c>
      <c r="C35" s="63">
        <f>'Comparative YTD 2018-2017 Aug'!C114</f>
        <v>-316288.44000000006</v>
      </c>
      <c r="D35" s="63">
        <f>'Comparative YTD 2018-2017 Aug'!D114</f>
        <v>121213.28</v>
      </c>
      <c r="E35" s="63">
        <f>'Comparative YTD 2018-2017 Aug'!E114</f>
        <v>31295.42</v>
      </c>
      <c r="F35" s="63">
        <f>'Comparative YTD 2018-2017 Aug'!F114</f>
        <v>-31667.199999999997</v>
      </c>
      <c r="G35" s="63">
        <f>'Comparative YTD 2018-2017 Aug'!G114</f>
        <v>163744.17000000001</v>
      </c>
      <c r="H35" s="63">
        <f>'Comparative YTD 2018-2017 Aug'!H114</f>
        <v>50000</v>
      </c>
      <c r="I35" s="63">
        <f>SUM(B35:H35)</f>
        <v>673081.71</v>
      </c>
      <c r="J35" s="53"/>
      <c r="K35" s="62" t="s">
        <v>276</v>
      </c>
      <c r="L35" s="63">
        <f>'Comparative YTD 2018-2017 Aug'!M114</f>
        <v>290167.28000000003</v>
      </c>
      <c r="M35" s="63">
        <f>'Comparative YTD 2018-2017 Aug'!N114</f>
        <v>-274922.5</v>
      </c>
      <c r="N35" s="63">
        <f>'Comparative YTD 2018-2017 Aug'!O114</f>
        <v>-5000</v>
      </c>
      <c r="O35" s="63">
        <f>'Comparative YTD 2018-2017 Aug'!P114</f>
        <v>68255.69</v>
      </c>
      <c r="P35" s="63">
        <f>'Comparative YTD 2018-2017 Aug'!Q114</f>
        <v>-46687.130000000005</v>
      </c>
      <c r="Q35" s="63">
        <f>'Comparative YTD 2018-2017 Aug'!R114</f>
        <v>338805.94</v>
      </c>
      <c r="R35" s="63">
        <f>'Comparative YTD 2018-2017 Aug'!S114</f>
        <v>100000</v>
      </c>
      <c r="S35" s="63">
        <f>SUM(L35:R35)</f>
        <v>470619.28</v>
      </c>
      <c r="T35" s="63"/>
      <c r="U35" s="62" t="s">
        <v>276</v>
      </c>
      <c r="W35" s="57">
        <f>I35</f>
        <v>673081.71</v>
      </c>
      <c r="Y35" s="57">
        <f t="shared" si="10"/>
        <v>470619.28</v>
      </c>
      <c r="AA35" s="57">
        <f>I35-S35</f>
        <v>202462.42999999993</v>
      </c>
      <c r="AB35" s="94"/>
      <c r="AC35" s="72">
        <f>I35/S35</f>
        <v>1.430204283173439</v>
      </c>
      <c r="AD35" s="58"/>
      <c r="AE35" s="72">
        <f>AC35-1</f>
        <v>0.43020428317343895</v>
      </c>
      <c r="AF35" s="58"/>
    </row>
    <row r="36" spans="1:32" s="54" customFormat="1" ht="30" customHeight="1" x14ac:dyDescent="0.5">
      <c r="A36" s="61"/>
      <c r="B36" s="63"/>
      <c r="C36" s="63"/>
      <c r="D36" s="63"/>
      <c r="E36" s="63"/>
      <c r="F36" s="63"/>
      <c r="G36" s="63"/>
      <c r="H36" s="63"/>
      <c r="I36" s="63">
        <f>SUM(B36:H36)</f>
        <v>0</v>
      </c>
      <c r="J36" s="64"/>
      <c r="K36" s="62"/>
      <c r="L36" s="63"/>
      <c r="M36" s="63"/>
      <c r="N36" s="63"/>
      <c r="O36" s="63"/>
      <c r="P36" s="63"/>
      <c r="Q36" s="63"/>
      <c r="R36" s="63"/>
      <c r="S36" s="63">
        <f>SUM(L36:R36)</f>
        <v>0</v>
      </c>
      <c r="T36" s="63"/>
      <c r="U36" s="62"/>
      <c r="V36" s="65"/>
      <c r="W36" s="66"/>
      <c r="X36" s="65"/>
      <c r="Y36" s="66">
        <f t="shared" si="10"/>
        <v>0</v>
      </c>
      <c r="Z36" s="65"/>
      <c r="AA36" s="66"/>
      <c r="AB36" s="93"/>
      <c r="AC36" s="58"/>
      <c r="AD36" s="58"/>
      <c r="AE36" s="58"/>
      <c r="AF36" s="58"/>
    </row>
    <row r="37" spans="1:32" s="54" customFormat="1" ht="30" customHeight="1" thickBot="1" x14ac:dyDescent="0.55000000000000004">
      <c r="A37" s="61" t="s">
        <v>268</v>
      </c>
      <c r="B37" s="77">
        <f t="shared" ref="B37:I37" si="13">B27-B33+B35</f>
        <v>-556000.78999875998</v>
      </c>
      <c r="C37" s="77">
        <f t="shared" si="13"/>
        <v>434544.4300000011</v>
      </c>
      <c r="D37" s="77">
        <f t="shared" si="13"/>
        <v>620279.70999999973</v>
      </c>
      <c r="E37" s="77">
        <f t="shared" si="13"/>
        <v>21000.879999999997</v>
      </c>
      <c r="F37" s="77">
        <f t="shared" si="13"/>
        <v>-16906.519999999888</v>
      </c>
      <c r="G37" s="77">
        <f>G27-G33+G35</f>
        <v>86829.01</v>
      </c>
      <c r="H37" s="77">
        <f t="shared" si="13"/>
        <v>-68710.149999999994</v>
      </c>
      <c r="I37" s="77">
        <f t="shared" si="13"/>
        <v>521036.57000123989</v>
      </c>
      <c r="J37" s="53"/>
      <c r="K37" s="62" t="s">
        <v>268</v>
      </c>
      <c r="L37" s="77">
        <f t="shared" ref="L37:R37" si="14">L27-L33+L35</f>
        <v>-810682.30000104965</v>
      </c>
      <c r="M37" s="77">
        <f t="shared" si="14"/>
        <v>112155.92000000639</v>
      </c>
      <c r="N37" s="77">
        <f t="shared" si="14"/>
        <v>453821.18000000017</v>
      </c>
      <c r="O37" s="77">
        <f t="shared" si="14"/>
        <v>63994.960000000006</v>
      </c>
      <c r="P37" s="77">
        <f t="shared" si="14"/>
        <v>-55447.770000000135</v>
      </c>
      <c r="Q37" s="77">
        <f>Q27-Q33+Q35</f>
        <v>290881.90000000002</v>
      </c>
      <c r="R37" s="77">
        <f t="shared" si="14"/>
        <v>97063.99</v>
      </c>
      <c r="S37" s="77">
        <f>SUM(L37:R37)</f>
        <v>151787.87999895687</v>
      </c>
      <c r="T37" s="91"/>
      <c r="U37" s="62" t="s">
        <v>268</v>
      </c>
      <c r="W37" s="78">
        <f>W27-W33+W35</f>
        <v>521036.57000123989</v>
      </c>
      <c r="Y37" s="78">
        <f t="shared" si="10"/>
        <v>151787.87999895687</v>
      </c>
      <c r="AA37" s="78">
        <f>I37-S37</f>
        <v>369248.69000228302</v>
      </c>
      <c r="AB37" s="95"/>
      <c r="AC37" s="75">
        <f>I37/S37</f>
        <v>3.432662541994925</v>
      </c>
      <c r="AD37" s="74"/>
      <c r="AE37" s="75">
        <f>AC37-1</f>
        <v>2.432662541994925</v>
      </c>
      <c r="AF37" s="58"/>
    </row>
    <row r="38" spans="1:32" ht="30" customHeight="1" thickTop="1" x14ac:dyDescent="0.25">
      <c r="B38" s="50"/>
      <c r="C38" s="50"/>
      <c r="D38" s="50"/>
      <c r="E38" s="50"/>
      <c r="F38" s="50"/>
      <c r="G38" s="50"/>
      <c r="H38" s="50"/>
      <c r="I38" s="50"/>
      <c r="AB38" s="96"/>
      <c r="AD38" s="40"/>
      <c r="AF38" s="40"/>
    </row>
    <row r="39" spans="1:32" ht="30" customHeight="1" x14ac:dyDescent="0.25">
      <c r="AB39" s="96"/>
      <c r="AD39" s="40"/>
      <c r="AF39" s="40"/>
    </row>
    <row r="40" spans="1:32" s="54" customFormat="1" ht="30" customHeight="1" x14ac:dyDescent="0.5">
      <c r="A40" s="54" t="s">
        <v>335</v>
      </c>
      <c r="B40" s="63">
        <v>-556000.79000042868</v>
      </c>
      <c r="C40" s="100">
        <v>402281.97000000335</v>
      </c>
      <c r="D40" s="100">
        <v>503419.3</v>
      </c>
      <c r="E40" s="100">
        <v>17544.25</v>
      </c>
      <c r="F40" s="100">
        <v>18349.990000000078</v>
      </c>
      <c r="G40" s="100">
        <v>75939.939999999973</v>
      </c>
      <c r="H40" s="100">
        <v>-78983.75</v>
      </c>
      <c r="I40" s="63">
        <f>SUM(B40:H40)</f>
        <v>382550.90999957465</v>
      </c>
      <c r="J40" s="64"/>
      <c r="K40" s="53"/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f>SUM(L40:R40)</f>
        <v>0</v>
      </c>
      <c r="T40" s="63"/>
      <c r="U40" s="53"/>
      <c r="V40" s="65"/>
      <c r="W40" s="66"/>
      <c r="X40" s="65"/>
      <c r="Y40" s="66"/>
      <c r="Z40" s="65"/>
      <c r="AA40" s="66"/>
      <c r="AB40" s="66"/>
      <c r="AC40" s="58"/>
      <c r="AD40" s="58"/>
      <c r="AE40" s="58"/>
      <c r="AF40" s="58"/>
    </row>
    <row r="41" spans="1:32" s="54" customFormat="1" ht="30" customHeight="1" x14ac:dyDescent="0.5">
      <c r="B41" s="63">
        <f t="shared" ref="B41:I41" si="15">B37-B40</f>
        <v>1.6686972230672836E-6</v>
      </c>
      <c r="C41" s="100">
        <f t="shared" si="15"/>
        <v>32262.459999997751</v>
      </c>
      <c r="D41" s="100">
        <f t="shared" si="15"/>
        <v>116860.40999999974</v>
      </c>
      <c r="E41" s="100">
        <f t="shared" si="15"/>
        <v>3456.6299999999974</v>
      </c>
      <c r="F41" s="100">
        <f t="shared" si="15"/>
        <v>-35256.509999999966</v>
      </c>
      <c r="G41" s="100">
        <f t="shared" si="15"/>
        <v>10889.070000000022</v>
      </c>
      <c r="H41" s="100">
        <f t="shared" si="15"/>
        <v>10273.600000000006</v>
      </c>
      <c r="I41" s="63">
        <f t="shared" si="15"/>
        <v>138485.66000166524</v>
      </c>
      <c r="J41" s="64"/>
      <c r="K41" s="53"/>
      <c r="L41" s="63">
        <f>L37-L40</f>
        <v>-810682.30000104965</v>
      </c>
      <c r="M41" s="63">
        <f t="shared" ref="M41:R41" si="16">M37-M40</f>
        <v>112155.92000000639</v>
      </c>
      <c r="N41" s="63">
        <f t="shared" si="16"/>
        <v>453821.18000000017</v>
      </c>
      <c r="O41" s="63">
        <f t="shared" si="16"/>
        <v>63994.960000000006</v>
      </c>
      <c r="P41" s="63">
        <f t="shared" si="16"/>
        <v>-55447.770000000135</v>
      </c>
      <c r="Q41" s="63">
        <f>Q37-Q40</f>
        <v>290881.90000000002</v>
      </c>
      <c r="R41" s="63">
        <f t="shared" si="16"/>
        <v>97063.99</v>
      </c>
      <c r="S41" s="63">
        <f>S37-S40</f>
        <v>151787.87999895687</v>
      </c>
      <c r="T41" s="63"/>
      <c r="U41" s="53"/>
      <c r="V41" s="65"/>
      <c r="W41" s="66">
        <f>I37-W37</f>
        <v>0</v>
      </c>
      <c r="X41" s="65"/>
      <c r="Y41" s="66">
        <f>Y37-S37</f>
        <v>0</v>
      </c>
      <c r="Z41" s="65"/>
      <c r="AA41" s="66">
        <f>AA21-AA25-AA33+AA35-AA37</f>
        <v>-5.0914241001009941E-7</v>
      </c>
      <c r="AB41" s="66"/>
      <c r="AC41" s="58"/>
      <c r="AD41" s="58"/>
      <c r="AE41" s="58"/>
      <c r="AF41" s="58"/>
    </row>
    <row r="42" spans="1:32" s="54" customFormat="1" ht="30" customHeight="1" x14ac:dyDescent="0.5">
      <c r="B42" s="63"/>
      <c r="C42" s="63"/>
      <c r="D42" s="63"/>
      <c r="E42" s="63"/>
      <c r="F42" s="63"/>
      <c r="G42" s="63"/>
      <c r="H42" s="63"/>
      <c r="I42" s="63"/>
      <c r="J42" s="64"/>
      <c r="K42" s="53"/>
      <c r="L42" s="63"/>
      <c r="M42" s="63"/>
      <c r="N42" s="63"/>
      <c r="O42" s="63"/>
      <c r="P42" s="63"/>
      <c r="Q42" s="63"/>
      <c r="R42" s="63"/>
      <c r="S42" s="63"/>
      <c r="T42" s="63"/>
      <c r="U42" s="53"/>
      <c r="V42" s="65"/>
      <c r="W42" s="66"/>
      <c r="X42" s="65"/>
      <c r="Y42" s="66"/>
      <c r="Z42" s="65"/>
      <c r="AA42" s="66"/>
      <c r="AB42" s="66"/>
      <c r="AC42" s="58"/>
      <c r="AD42" s="58"/>
      <c r="AE42" s="58"/>
      <c r="AF42" s="58"/>
    </row>
    <row r="43" spans="1:32" x14ac:dyDescent="0.25">
      <c r="B43" s="48"/>
      <c r="C43" s="48"/>
      <c r="D43" s="48"/>
      <c r="E43" s="48"/>
    </row>
    <row r="44" spans="1:32" x14ac:dyDescent="0.25">
      <c r="B44" s="48"/>
      <c r="C44" s="48"/>
      <c r="D44" s="48"/>
      <c r="E44" s="48"/>
    </row>
    <row r="45" spans="1:32" x14ac:dyDescent="0.25">
      <c r="B45" s="48"/>
      <c r="C45" s="48"/>
      <c r="D45" s="48"/>
      <c r="E45" s="48"/>
    </row>
    <row r="46" spans="1:32" x14ac:dyDescent="0.25">
      <c r="B46" s="48"/>
      <c r="C46" s="48"/>
      <c r="D46" s="48"/>
      <c r="E46" s="48"/>
    </row>
    <row r="47" spans="1:32" x14ac:dyDescent="0.25">
      <c r="B47" s="48"/>
      <c r="C47" s="48"/>
      <c r="D47" s="48"/>
      <c r="E47" s="48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2:AG128"/>
  <sheetViews>
    <sheetView topLeftCell="K1" zoomScale="25" zoomScaleNormal="25" zoomScaleSheetLayoutView="30" workbookViewId="0">
      <pane ySplit="14" topLeftCell="A99" activePane="bottomLeft" state="frozen"/>
      <selection activeCell="C24" sqref="C24"/>
      <selection pane="bottomLeft" activeCell="H107" sqref="H107"/>
    </sheetView>
  </sheetViews>
  <sheetFormatPr defaultRowHeight="57.75" x14ac:dyDescent="0.85"/>
  <cols>
    <col min="1" max="1" width="155.42578125" style="114" bestFit="1" customWidth="1"/>
    <col min="2" max="2" width="72.5703125" style="115" customWidth="1"/>
    <col min="3" max="8" width="65.7109375" style="115" customWidth="1"/>
    <col min="9" max="9" width="72.5703125" style="115" customWidth="1"/>
    <col min="10" max="10" width="40.7109375" style="115" customWidth="1"/>
    <col min="11" max="11" width="11.42578125" style="115" customWidth="1"/>
    <col min="12" max="12" width="155.42578125" style="115" bestFit="1" customWidth="1"/>
    <col min="13" max="13" width="78.7109375" style="115" customWidth="1"/>
    <col min="14" max="14" width="63.7109375" style="115" customWidth="1"/>
    <col min="15" max="15" width="57.7109375" style="115" customWidth="1"/>
    <col min="16" max="16" width="69.7109375" style="115" customWidth="1"/>
    <col min="17" max="17" width="54" style="115" customWidth="1"/>
    <col min="18" max="18" width="68.28515625" style="115" customWidth="1"/>
    <col min="19" max="19" width="72.140625" style="115" customWidth="1"/>
    <col min="20" max="20" width="80.7109375" style="115" customWidth="1"/>
    <col min="21" max="21" width="50.140625" style="114" customWidth="1"/>
    <col min="22" max="22" width="155.42578125" style="115" bestFit="1" customWidth="1"/>
    <col min="23" max="23" width="11.42578125" style="114" customWidth="1"/>
    <col min="24" max="24" width="80.7109375" style="114" customWidth="1"/>
    <col min="25" max="25" width="11.42578125" style="114" customWidth="1"/>
    <col min="26" max="26" width="80.7109375" style="114" customWidth="1"/>
    <col min="27" max="27" width="11.42578125" style="114" customWidth="1"/>
    <col min="28" max="28" width="80.7109375" style="116" customWidth="1"/>
    <col min="29" max="29" width="4.28515625" style="116" customWidth="1"/>
    <col min="30" max="30" width="80.7109375" style="117" customWidth="1"/>
    <col min="31" max="31" width="4.28515625" style="116" customWidth="1"/>
    <col min="32" max="32" width="50.7109375" style="117" customWidth="1"/>
  </cols>
  <sheetData>
    <row r="2" spans="1:32" ht="40.5" customHeight="1" x14ac:dyDescent="0.85">
      <c r="A2" s="262" t="s">
        <v>351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</row>
    <row r="3" spans="1:32" ht="40.5" customHeight="1" x14ac:dyDescent="0.85">
      <c r="A3" s="262" t="s">
        <v>464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</row>
    <row r="4" spans="1:32" ht="14.25" customHeight="1" thickBot="1" x14ac:dyDescent="0.9"/>
    <row r="5" spans="1:32" s="45" customFormat="1" ht="54.95" customHeight="1" x14ac:dyDescent="0.85">
      <c r="A5" s="263">
        <v>2018</v>
      </c>
      <c r="B5" s="264"/>
      <c r="C5" s="264"/>
      <c r="D5" s="264"/>
      <c r="E5" s="264"/>
      <c r="F5" s="264"/>
      <c r="G5" s="264"/>
      <c r="H5" s="264"/>
      <c r="I5" s="264"/>
      <c r="J5" s="265"/>
      <c r="K5" s="115"/>
      <c r="L5" s="263">
        <v>2017</v>
      </c>
      <c r="M5" s="264"/>
      <c r="N5" s="264"/>
      <c r="O5" s="264"/>
      <c r="P5" s="264"/>
      <c r="Q5" s="264"/>
      <c r="R5" s="264"/>
      <c r="S5" s="264"/>
      <c r="T5" s="264"/>
      <c r="U5" s="265"/>
      <c r="V5" s="250" t="s">
        <v>410</v>
      </c>
      <c r="W5" s="251"/>
      <c r="X5" s="251"/>
      <c r="Y5" s="251"/>
      <c r="Z5" s="251"/>
      <c r="AA5" s="251"/>
      <c r="AB5" s="251"/>
      <c r="AC5" s="251"/>
      <c r="AD5" s="251"/>
      <c r="AE5" s="251"/>
      <c r="AF5" s="252"/>
    </row>
    <row r="6" spans="1:32" s="45" customFormat="1" ht="54.95" customHeight="1" x14ac:dyDescent="0.85">
      <c r="A6" s="266" t="s">
        <v>411</v>
      </c>
      <c r="B6" s="267"/>
      <c r="C6" s="267"/>
      <c r="D6" s="267"/>
      <c r="E6" s="267"/>
      <c r="F6" s="267"/>
      <c r="G6" s="267"/>
      <c r="H6" s="267"/>
      <c r="I6" s="267"/>
      <c r="J6" s="268"/>
      <c r="K6" s="115"/>
      <c r="L6" s="266" t="s">
        <v>411</v>
      </c>
      <c r="M6" s="267"/>
      <c r="N6" s="267"/>
      <c r="O6" s="267"/>
      <c r="P6" s="267"/>
      <c r="Q6" s="267"/>
      <c r="R6" s="267"/>
      <c r="S6" s="267"/>
      <c r="T6" s="267"/>
      <c r="U6" s="268"/>
      <c r="V6" s="253"/>
      <c r="W6" s="254"/>
      <c r="X6" s="254"/>
      <c r="Y6" s="254"/>
      <c r="Z6" s="254"/>
      <c r="AA6" s="254"/>
      <c r="AB6" s="254"/>
      <c r="AC6" s="254"/>
      <c r="AD6" s="254"/>
      <c r="AE6" s="254"/>
      <c r="AF6" s="255"/>
    </row>
    <row r="7" spans="1:32" s="45" customFormat="1" ht="54.95" customHeight="1" x14ac:dyDescent="0.85">
      <c r="A7" s="266" t="s">
        <v>350</v>
      </c>
      <c r="B7" s="267"/>
      <c r="C7" s="267"/>
      <c r="D7" s="267"/>
      <c r="E7" s="267"/>
      <c r="F7" s="267"/>
      <c r="G7" s="267"/>
      <c r="H7" s="267"/>
      <c r="I7" s="267"/>
      <c r="J7" s="268"/>
      <c r="K7" s="115"/>
      <c r="L7" s="266" t="s">
        <v>350</v>
      </c>
      <c r="M7" s="267"/>
      <c r="N7" s="267"/>
      <c r="O7" s="267"/>
      <c r="P7" s="267"/>
      <c r="Q7" s="267"/>
      <c r="R7" s="267"/>
      <c r="S7" s="267"/>
      <c r="T7" s="267"/>
      <c r="U7" s="268"/>
      <c r="V7" s="253"/>
      <c r="W7" s="254"/>
      <c r="X7" s="254"/>
      <c r="Y7" s="254"/>
      <c r="Z7" s="254"/>
      <c r="AA7" s="254"/>
      <c r="AB7" s="254"/>
      <c r="AC7" s="254"/>
      <c r="AD7" s="254"/>
      <c r="AE7" s="254"/>
      <c r="AF7" s="255"/>
    </row>
    <row r="8" spans="1:32" s="45" customFormat="1" ht="54.95" customHeight="1" thickBot="1" x14ac:dyDescent="0.9">
      <c r="A8" s="259">
        <v>43343</v>
      </c>
      <c r="B8" s="260"/>
      <c r="C8" s="260"/>
      <c r="D8" s="260"/>
      <c r="E8" s="260"/>
      <c r="F8" s="260"/>
      <c r="G8" s="260"/>
      <c r="H8" s="260"/>
      <c r="I8" s="260"/>
      <c r="J8" s="261"/>
      <c r="K8" s="115"/>
      <c r="L8" s="259">
        <v>42978</v>
      </c>
      <c r="M8" s="260"/>
      <c r="N8" s="260"/>
      <c r="O8" s="260"/>
      <c r="P8" s="260"/>
      <c r="Q8" s="260"/>
      <c r="R8" s="260"/>
      <c r="S8" s="260"/>
      <c r="T8" s="260"/>
      <c r="U8" s="261"/>
      <c r="V8" s="256"/>
      <c r="W8" s="257"/>
      <c r="X8" s="257"/>
      <c r="Y8" s="257"/>
      <c r="Z8" s="257"/>
      <c r="AA8" s="257"/>
      <c r="AB8" s="257"/>
      <c r="AC8" s="257"/>
      <c r="AD8" s="257"/>
      <c r="AE8" s="257"/>
      <c r="AF8" s="258"/>
    </row>
    <row r="9" spans="1:32" s="54" customFormat="1" ht="54.95" customHeight="1" x14ac:dyDescent="0.85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15"/>
      <c r="L9" s="119"/>
      <c r="M9" s="119"/>
      <c r="N9" s="119"/>
      <c r="O9" s="119"/>
      <c r="P9" s="119"/>
      <c r="Q9" s="119"/>
      <c r="R9" s="119"/>
      <c r="S9" s="119"/>
      <c r="T9" s="119"/>
      <c r="U9" s="118"/>
      <c r="V9" s="119"/>
      <c r="W9" s="114"/>
      <c r="X9" s="120"/>
      <c r="Y9" s="114"/>
      <c r="Z9" s="120"/>
      <c r="AA9" s="114"/>
      <c r="AB9" s="120"/>
      <c r="AC9" s="120"/>
      <c r="AD9" s="120"/>
      <c r="AE9" s="120"/>
      <c r="AF9" s="120"/>
    </row>
    <row r="10" spans="1:32" s="54" customFormat="1" ht="54.95" customHeight="1" x14ac:dyDescent="0.85">
      <c r="A10" s="114"/>
      <c r="B10" s="115"/>
      <c r="C10" s="115"/>
      <c r="D10" s="115"/>
      <c r="E10" s="115"/>
      <c r="F10" s="115"/>
      <c r="G10" s="115"/>
      <c r="H10" s="115"/>
      <c r="I10" s="115"/>
      <c r="J10" s="119">
        <v>2018</v>
      </c>
      <c r="K10" s="119"/>
      <c r="L10" s="121"/>
      <c r="M10" s="121"/>
      <c r="N10" s="121"/>
      <c r="O10" s="121"/>
      <c r="P10" s="121"/>
      <c r="Q10" s="121"/>
      <c r="R10" s="121"/>
      <c r="S10" s="121"/>
      <c r="T10" s="121"/>
      <c r="U10" s="118">
        <v>2017</v>
      </c>
      <c r="V10" s="121"/>
      <c r="W10" s="118"/>
      <c r="X10" s="116"/>
      <c r="Y10" s="118"/>
      <c r="Z10" s="116"/>
      <c r="AA10" s="118"/>
      <c r="AB10" s="116"/>
      <c r="AC10" s="116"/>
      <c r="AD10" s="117"/>
      <c r="AE10" s="116"/>
      <c r="AF10" s="117"/>
    </row>
    <row r="11" spans="1:32" s="54" customFormat="1" ht="54.95" customHeight="1" x14ac:dyDescent="0.85">
      <c r="A11" s="114"/>
      <c r="B11" s="115"/>
      <c r="C11" s="115"/>
      <c r="D11" s="115"/>
      <c r="E11" s="115"/>
      <c r="F11" s="115"/>
      <c r="G11" s="115"/>
      <c r="H11" s="115"/>
      <c r="I11" s="115"/>
      <c r="J11" s="119" t="s">
        <v>349</v>
      </c>
      <c r="K11" s="119"/>
      <c r="L11" s="121"/>
      <c r="M11" s="121"/>
      <c r="N11" s="121"/>
      <c r="O11" s="121"/>
      <c r="P11" s="121"/>
      <c r="Q11" s="121"/>
      <c r="R11" s="121"/>
      <c r="S11" s="121"/>
      <c r="T11" s="121"/>
      <c r="U11" s="118" t="s">
        <v>349</v>
      </c>
      <c r="V11" s="121"/>
      <c r="W11" s="118"/>
      <c r="X11" s="116"/>
      <c r="Y11" s="118"/>
      <c r="Z11" s="116"/>
      <c r="AA11" s="118"/>
      <c r="AB11" s="116"/>
      <c r="AC11" s="116"/>
      <c r="AD11" s="118" t="s">
        <v>344</v>
      </c>
      <c r="AE11" s="116"/>
      <c r="AF11" s="117"/>
    </row>
    <row r="12" spans="1:32" s="54" customFormat="1" ht="54.95" customHeight="1" x14ac:dyDescent="0.85">
      <c r="A12" s="114"/>
      <c r="B12" s="115"/>
      <c r="C12" s="115"/>
      <c r="D12" s="115"/>
      <c r="E12" s="115"/>
      <c r="F12" s="115"/>
      <c r="G12" s="115"/>
      <c r="H12" s="115"/>
      <c r="I12" s="115"/>
      <c r="J12" s="119" t="s">
        <v>347</v>
      </c>
      <c r="K12" s="119"/>
      <c r="L12" s="115"/>
      <c r="M12" s="115"/>
      <c r="N12" s="115"/>
      <c r="O12" s="115"/>
      <c r="P12" s="115"/>
      <c r="Q12" s="115"/>
      <c r="R12" s="115"/>
      <c r="S12" s="115"/>
      <c r="T12" s="115"/>
      <c r="U12" s="118" t="s">
        <v>347</v>
      </c>
      <c r="V12" s="115"/>
      <c r="W12" s="118"/>
      <c r="X12" s="118"/>
      <c r="Y12" s="118"/>
      <c r="Z12" s="118"/>
      <c r="AA12" s="118"/>
      <c r="AB12" s="118" t="s">
        <v>344</v>
      </c>
      <c r="AC12" s="118"/>
      <c r="AD12" s="117" t="s">
        <v>347</v>
      </c>
      <c r="AE12" s="118"/>
      <c r="AF12" s="118" t="s">
        <v>346</v>
      </c>
    </row>
    <row r="13" spans="1:32" s="54" customFormat="1" ht="54.95" customHeight="1" x14ac:dyDescent="0.85">
      <c r="A13" s="114"/>
      <c r="B13" s="115"/>
      <c r="C13" s="115"/>
      <c r="D13" s="115"/>
      <c r="E13" s="115"/>
      <c r="F13" s="115"/>
      <c r="G13" s="115"/>
      <c r="H13" s="115"/>
      <c r="I13" s="119" t="s">
        <v>208</v>
      </c>
      <c r="J13" s="119" t="s">
        <v>208</v>
      </c>
      <c r="K13" s="119"/>
      <c r="L13" s="115"/>
      <c r="M13" s="115"/>
      <c r="N13" s="115"/>
      <c r="O13" s="115"/>
      <c r="P13" s="115"/>
      <c r="Q13" s="115"/>
      <c r="R13" s="115"/>
      <c r="S13" s="115"/>
      <c r="T13" s="119" t="s">
        <v>208</v>
      </c>
      <c r="U13" s="118" t="s">
        <v>208</v>
      </c>
      <c r="V13" s="115"/>
      <c r="W13" s="118"/>
      <c r="X13" s="118">
        <v>2018</v>
      </c>
      <c r="Y13" s="118"/>
      <c r="Z13" s="118">
        <v>2017</v>
      </c>
      <c r="AA13" s="118"/>
      <c r="AB13" s="118" t="s">
        <v>345</v>
      </c>
      <c r="AC13" s="118"/>
      <c r="AD13" s="118" t="s">
        <v>345</v>
      </c>
      <c r="AE13" s="118"/>
      <c r="AF13" s="118" t="s">
        <v>348</v>
      </c>
    </row>
    <row r="14" spans="1:32" s="54" customFormat="1" ht="54.95" customHeight="1" x14ac:dyDescent="0.85">
      <c r="A14" s="114"/>
      <c r="B14" s="122" t="s">
        <v>213</v>
      </c>
      <c r="C14" s="122" t="s">
        <v>215</v>
      </c>
      <c r="D14" s="122" t="s">
        <v>214</v>
      </c>
      <c r="E14" s="122" t="s">
        <v>216</v>
      </c>
      <c r="F14" s="122" t="s">
        <v>217</v>
      </c>
      <c r="G14" s="122" t="s">
        <v>412</v>
      </c>
      <c r="H14" s="122" t="s">
        <v>425</v>
      </c>
      <c r="I14" s="122">
        <v>2018</v>
      </c>
      <c r="J14" s="123" t="s">
        <v>343</v>
      </c>
      <c r="K14" s="123"/>
      <c r="L14" s="115"/>
      <c r="M14" s="122" t="s">
        <v>213</v>
      </c>
      <c r="N14" s="122" t="s">
        <v>215</v>
      </c>
      <c r="O14" s="122" t="s">
        <v>214</v>
      </c>
      <c r="P14" s="122" t="s">
        <v>216</v>
      </c>
      <c r="Q14" s="122" t="s">
        <v>217</v>
      </c>
      <c r="R14" s="122" t="s">
        <v>412</v>
      </c>
      <c r="S14" s="122" t="s">
        <v>425</v>
      </c>
      <c r="T14" s="122">
        <v>2017</v>
      </c>
      <c r="U14" s="123" t="s">
        <v>343</v>
      </c>
      <c r="V14" s="115"/>
      <c r="W14" s="123"/>
      <c r="X14" s="124"/>
      <c r="Y14" s="123"/>
      <c r="Z14" s="124"/>
      <c r="AA14" s="123"/>
      <c r="AB14" s="124" t="s">
        <v>342</v>
      </c>
      <c r="AC14" s="124"/>
      <c r="AD14" s="124" t="s">
        <v>343</v>
      </c>
      <c r="AE14" s="124"/>
      <c r="AF14" s="124" t="s">
        <v>343</v>
      </c>
    </row>
    <row r="15" spans="1:32" s="54" customFormat="1" ht="54.95" customHeight="1" x14ac:dyDescent="0.85">
      <c r="A15" s="125" t="s">
        <v>62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26" t="s">
        <v>62</v>
      </c>
      <c r="M15" s="115"/>
      <c r="N15" s="115"/>
      <c r="O15" s="115"/>
      <c r="P15" s="115"/>
      <c r="Q15" s="115"/>
      <c r="R15" s="115"/>
      <c r="S15" s="115"/>
      <c r="T15" s="115"/>
      <c r="U15" s="114"/>
      <c r="V15" s="126" t="s">
        <v>62</v>
      </c>
      <c r="W15" s="114"/>
      <c r="X15" s="114"/>
      <c r="Y15" s="114"/>
      <c r="Z15" s="114"/>
      <c r="AA15" s="114"/>
      <c r="AB15" s="114"/>
      <c r="AC15" s="114"/>
      <c r="AD15" s="117"/>
      <c r="AE15" s="114"/>
      <c r="AF15" s="117"/>
    </row>
    <row r="16" spans="1:32" s="54" customFormat="1" ht="54.95" customHeight="1" x14ac:dyDescent="0.85">
      <c r="A16" s="115" t="s">
        <v>218</v>
      </c>
      <c r="B16" s="127">
        <f>[3]CNT!N104+[3]CNT!N115</f>
        <v>893961523.28000009</v>
      </c>
      <c r="C16" s="127">
        <f>BPM!J8+BPM!J15</f>
        <v>57600815.5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f t="shared" ref="I16:I49" si="0">SUM(B16:H16)</f>
        <v>951562338.78000009</v>
      </c>
      <c r="J16" s="128">
        <f>I16/$I$23</f>
        <v>0.24742419377529146</v>
      </c>
      <c r="K16" s="128"/>
      <c r="L16" s="115" t="s">
        <v>218</v>
      </c>
      <c r="M16" s="127">
        <f>1311145123.27+-17992009.73</f>
        <v>1293153113.54</v>
      </c>
      <c r="N16" s="127">
        <f>23569836.82-296.09</f>
        <v>23569540.73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f>SUM(M16:S16)</f>
        <v>1316722654.27</v>
      </c>
      <c r="U16" s="129">
        <f>T16/$T$23</f>
        <v>0.50402052057829871</v>
      </c>
      <c r="V16" s="115" t="s">
        <v>218</v>
      </c>
      <c r="W16" s="129"/>
      <c r="X16" s="130">
        <f>I16</f>
        <v>951562338.78000009</v>
      </c>
      <c r="Y16" s="129"/>
      <c r="Z16" s="130">
        <f>T16</f>
        <v>1316722654.27</v>
      </c>
      <c r="AA16" s="129"/>
      <c r="AB16" s="130">
        <f>I16-T16</f>
        <v>-365160315.48999989</v>
      </c>
      <c r="AC16" s="130"/>
      <c r="AD16" s="129">
        <f>I16/T16</f>
        <v>0.72267484401075543</v>
      </c>
      <c r="AE16" s="130"/>
      <c r="AF16" s="129">
        <f>AD16-1</f>
        <v>-0.27732515598924457</v>
      </c>
    </row>
    <row r="17" spans="1:32" s="54" customFormat="1" ht="54.95" customHeight="1" x14ac:dyDescent="0.85">
      <c r="A17" s="114" t="s">
        <v>219</v>
      </c>
      <c r="B17" s="127">
        <f>[3]CNT!N105+[3]CNT!N116</f>
        <v>2856595052.3600001</v>
      </c>
      <c r="C17" s="127">
        <f>BPM!J9+BPM!I16</f>
        <v>2632058.2099999995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27">
        <f t="shared" si="0"/>
        <v>2859227110.5700002</v>
      </c>
      <c r="J17" s="128">
        <f t="shared" ref="J17:J22" si="1">I17/$I$23</f>
        <v>0.74345309163901041</v>
      </c>
      <c r="K17" s="128"/>
      <c r="L17" s="115" t="s">
        <v>219</v>
      </c>
      <c r="M17" s="127">
        <f>1284428549.3+-46200982.31</f>
        <v>1238227566.99</v>
      </c>
      <c r="N17" s="127">
        <f>6005543.67-568.8</f>
        <v>6004974.8700000001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f t="shared" ref="T17:T93" si="2">SUM(M17:S17)</f>
        <v>1244232541.8599999</v>
      </c>
      <c r="U17" s="129">
        <f t="shared" ref="U17:U22" si="3">T17/$T$23</f>
        <v>0.47627245679646635</v>
      </c>
      <c r="V17" s="115" t="s">
        <v>219</v>
      </c>
      <c r="W17" s="129"/>
      <c r="X17" s="130">
        <f t="shared" ref="X17:X80" si="4">I17</f>
        <v>2859227110.5700002</v>
      </c>
      <c r="Y17" s="129"/>
      <c r="Z17" s="130">
        <f t="shared" ref="Z17:Z80" si="5">T17</f>
        <v>1244232541.8599999</v>
      </c>
      <c r="AA17" s="129"/>
      <c r="AB17" s="130">
        <f t="shared" ref="AB17:AB23" si="6">I17-T17</f>
        <v>1614994568.7100003</v>
      </c>
      <c r="AC17" s="130"/>
      <c r="AD17" s="129">
        <f t="shared" ref="AD17:AD22" si="7">I17/T17</f>
        <v>2.2979845120396458</v>
      </c>
      <c r="AE17" s="130"/>
      <c r="AF17" s="129">
        <f t="shared" ref="AF17:AF89" si="8">AD17-1</f>
        <v>1.2979845120396458</v>
      </c>
    </row>
    <row r="18" spans="1:32" s="54" customFormat="1" ht="54.95" customHeight="1" x14ac:dyDescent="0.85">
      <c r="A18" s="114" t="s">
        <v>220</v>
      </c>
      <c r="B18" s="127">
        <f>[3]CNT!N106+[3]CNT!N117</f>
        <v>12962345.98</v>
      </c>
      <c r="C18" s="127">
        <f>BPM!J10</f>
        <v>264904.90000000002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f t="shared" si="0"/>
        <v>13227250.880000001</v>
      </c>
      <c r="J18" s="128">
        <f t="shared" si="1"/>
        <v>3.4393352400258963E-3</v>
      </c>
      <c r="K18" s="128"/>
      <c r="L18" s="115" t="s">
        <v>220</v>
      </c>
      <c r="M18" s="127">
        <f>16956226.24-15659.5</f>
        <v>16940566.739999998</v>
      </c>
      <c r="N18" s="127">
        <v>1717081.62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f t="shared" si="2"/>
        <v>18657648.359999999</v>
      </c>
      <c r="U18" s="129">
        <f t="shared" si="3"/>
        <v>7.1418514815389071E-3</v>
      </c>
      <c r="V18" s="115" t="s">
        <v>220</v>
      </c>
      <c r="W18" s="129"/>
      <c r="X18" s="130">
        <f t="shared" si="4"/>
        <v>13227250.880000001</v>
      </c>
      <c r="Y18" s="129"/>
      <c r="Z18" s="130">
        <f t="shared" si="5"/>
        <v>18657648.359999999</v>
      </c>
      <c r="AA18" s="129"/>
      <c r="AB18" s="130">
        <f t="shared" si="6"/>
        <v>-5430397.4799999986</v>
      </c>
      <c r="AC18" s="130"/>
      <c r="AD18" s="129">
        <f t="shared" si="7"/>
        <v>0.70894523386761921</v>
      </c>
      <c r="AE18" s="130"/>
      <c r="AF18" s="129">
        <f t="shared" si="8"/>
        <v>-0.29105476613238079</v>
      </c>
    </row>
    <row r="19" spans="1:32" s="54" customFormat="1" ht="54.95" customHeight="1" x14ac:dyDescent="0.85">
      <c r="A19" s="115" t="s">
        <v>433</v>
      </c>
      <c r="B19" s="127">
        <f>[3]CNT!N107+[3]CNT!N118</f>
        <v>11213637.91</v>
      </c>
      <c r="C19" s="127">
        <f>BPM!J11</f>
        <v>17523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f t="shared" si="0"/>
        <v>11231160.91</v>
      </c>
      <c r="J19" s="128">
        <f t="shared" si="1"/>
        <v>2.9203141192831379E-3</v>
      </c>
      <c r="K19" s="128"/>
      <c r="L19" s="115" t="s">
        <v>433</v>
      </c>
      <c r="M19" s="127">
        <f>26653327.74+-59490</f>
        <v>26593837.739999998</v>
      </c>
      <c r="N19" s="127">
        <v>11928.98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f t="shared" si="2"/>
        <v>26605766.719999999</v>
      </c>
      <c r="U19" s="129">
        <f t="shared" si="3"/>
        <v>1.0184264962034612E-2</v>
      </c>
      <c r="V19" s="115" t="s">
        <v>433</v>
      </c>
      <c r="W19" s="129"/>
      <c r="X19" s="130">
        <f t="shared" si="4"/>
        <v>11231160.91</v>
      </c>
      <c r="Y19" s="129"/>
      <c r="Z19" s="130">
        <f t="shared" si="5"/>
        <v>26605766.719999999</v>
      </c>
      <c r="AA19" s="129"/>
      <c r="AB19" s="130">
        <f t="shared" si="6"/>
        <v>-15374605.809999999</v>
      </c>
      <c r="AC19" s="130"/>
      <c r="AD19" s="129">
        <f t="shared" si="7"/>
        <v>0.42213257855701447</v>
      </c>
      <c r="AE19" s="130"/>
      <c r="AF19" s="129">
        <f t="shared" si="8"/>
        <v>-0.57786742144298553</v>
      </c>
    </row>
    <row r="20" spans="1:32" s="54" customFormat="1" ht="54.95" customHeight="1" x14ac:dyDescent="0.85">
      <c r="A20" s="114" t="s">
        <v>221</v>
      </c>
      <c r="B20" s="127">
        <f>[3]CNT!N111+[3]CNT!N121</f>
        <v>4564165.9700000007</v>
      </c>
      <c r="C20" s="127">
        <f>0</f>
        <v>0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f t="shared" si="0"/>
        <v>4564165.9700000007</v>
      </c>
      <c r="J20" s="128">
        <f t="shared" si="1"/>
        <v>1.1867694205213396E-3</v>
      </c>
      <c r="K20" s="128"/>
      <c r="L20" s="115" t="s">
        <v>221</v>
      </c>
      <c r="M20" s="127">
        <f>1368878+-4425</f>
        <v>1364453</v>
      </c>
      <c r="N20" s="127">
        <f>32977-2300</f>
        <v>30677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f t="shared" si="2"/>
        <v>1395130</v>
      </c>
      <c r="U20" s="129">
        <f t="shared" si="3"/>
        <v>5.3403360730073146E-4</v>
      </c>
      <c r="V20" s="115" t="s">
        <v>221</v>
      </c>
      <c r="W20" s="129"/>
      <c r="X20" s="130">
        <f t="shared" si="4"/>
        <v>4564165.9700000007</v>
      </c>
      <c r="Y20" s="129"/>
      <c r="Z20" s="130">
        <f t="shared" si="5"/>
        <v>1395130</v>
      </c>
      <c r="AA20" s="129"/>
      <c r="AB20" s="130">
        <f t="shared" si="6"/>
        <v>3169035.9700000007</v>
      </c>
      <c r="AC20" s="130"/>
      <c r="AD20" s="129">
        <f t="shared" si="7"/>
        <v>3.2714986918781768</v>
      </c>
      <c r="AE20" s="130"/>
      <c r="AF20" s="129">
        <f t="shared" si="8"/>
        <v>2.2714986918781768</v>
      </c>
    </row>
    <row r="21" spans="1:32" s="54" customFormat="1" ht="54.95" customHeight="1" x14ac:dyDescent="0.85">
      <c r="A21" s="114" t="s">
        <v>222</v>
      </c>
      <c r="B21" s="127">
        <f>[3]CNT!N122+[3]CNT!N124+[3]CNT!N123+[3]CNT!N125</f>
        <v>594586.1100000001</v>
      </c>
      <c r="C21" s="127">
        <f>BPM!J12</f>
        <v>1605.98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7">
        <f t="shared" si="0"/>
        <v>596192.09000000008</v>
      </c>
      <c r="J21" s="128">
        <f t="shared" si="1"/>
        <v>1.5502121215997463E-4</v>
      </c>
      <c r="K21" s="128"/>
      <c r="L21" s="115" t="s">
        <v>222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7">
        <f t="shared" si="2"/>
        <v>0</v>
      </c>
      <c r="U21" s="129">
        <f t="shared" si="3"/>
        <v>0</v>
      </c>
      <c r="V21" s="115" t="s">
        <v>222</v>
      </c>
      <c r="W21" s="129"/>
      <c r="X21" s="130">
        <f t="shared" si="4"/>
        <v>596192.09000000008</v>
      </c>
      <c r="Y21" s="129"/>
      <c r="Z21" s="130">
        <f t="shared" si="5"/>
        <v>0</v>
      </c>
      <c r="AA21" s="129"/>
      <c r="AB21" s="130">
        <f t="shared" si="6"/>
        <v>596192.09000000008</v>
      </c>
      <c r="AC21" s="130"/>
      <c r="AD21" s="131">
        <v>0</v>
      </c>
      <c r="AE21" s="130"/>
      <c r="AF21" s="131">
        <v>0</v>
      </c>
    </row>
    <row r="22" spans="1:32" s="54" customFormat="1" ht="54.95" customHeight="1" x14ac:dyDescent="0.85">
      <c r="A22" s="114" t="s">
        <v>223</v>
      </c>
      <c r="B22" s="127">
        <f>[3]CNT!N109+[3]CNT!N110+[3]CNT!N112+[3]CNT!N113+[3]CNT!N114+[3]CNT!N108+[3]CNT!N120</f>
        <v>664091.04</v>
      </c>
      <c r="C22" s="127">
        <f>BPM!J14+BPM!J13</f>
        <v>2611450.5</v>
      </c>
      <c r="D22" s="127">
        <f>DEP!J17</f>
        <v>1651434.8699999999</v>
      </c>
      <c r="E22" s="127">
        <v>0</v>
      </c>
      <c r="F22" s="127">
        <f>'BSC (Dome)'!J14</f>
        <v>539066.97000000009</v>
      </c>
      <c r="G22" s="127">
        <v>0</v>
      </c>
      <c r="H22" s="127">
        <v>0</v>
      </c>
      <c r="I22" s="127">
        <f t="shared" si="0"/>
        <v>5466043.3799999999</v>
      </c>
      <c r="J22" s="128">
        <f t="shared" si="1"/>
        <v>1.4212745937078847E-3</v>
      </c>
      <c r="K22" s="128"/>
      <c r="L22" s="115" t="s">
        <v>223</v>
      </c>
      <c r="M22" s="127">
        <f>1250527.03+20000+361265.43+48385.28+165991.42-1257.5+415</f>
        <v>1845326.66</v>
      </c>
      <c r="N22" s="127">
        <f>192+53576.07+1049845.58</f>
        <v>1103613.6500000001</v>
      </c>
      <c r="O22" s="127">
        <v>1325754.8400000001</v>
      </c>
      <c r="P22" s="127">
        <v>0</v>
      </c>
      <c r="Q22" s="127">
        <v>550146.02</v>
      </c>
      <c r="R22" s="127">
        <v>0</v>
      </c>
      <c r="S22" s="127">
        <v>0</v>
      </c>
      <c r="T22" s="127">
        <f t="shared" si="2"/>
        <v>4824841.17</v>
      </c>
      <c r="U22" s="129">
        <f t="shared" si="3"/>
        <v>1.8468725743609423E-3</v>
      </c>
      <c r="V22" s="115" t="s">
        <v>223</v>
      </c>
      <c r="W22" s="129"/>
      <c r="X22" s="130">
        <f t="shared" si="4"/>
        <v>5466043.3799999999</v>
      </c>
      <c r="Y22" s="129"/>
      <c r="Z22" s="130">
        <f t="shared" si="5"/>
        <v>4824841.17</v>
      </c>
      <c r="AA22" s="129"/>
      <c r="AB22" s="130">
        <f t="shared" si="6"/>
        <v>641202.21</v>
      </c>
      <c r="AC22" s="130"/>
      <c r="AD22" s="129">
        <f t="shared" si="7"/>
        <v>1.132896024430168</v>
      </c>
      <c r="AE22" s="130"/>
      <c r="AF22" s="129">
        <f t="shared" si="8"/>
        <v>0.13289602443016801</v>
      </c>
    </row>
    <row r="23" spans="1:32" s="54" customFormat="1" ht="54.95" customHeight="1" x14ac:dyDescent="0.85">
      <c r="A23" s="125" t="s">
        <v>224</v>
      </c>
      <c r="B23" s="132">
        <f>SUM(B16:B22)</f>
        <v>3780555402.6500001</v>
      </c>
      <c r="C23" s="132">
        <f t="shared" ref="C23:H23" si="9">SUM(C16:C22)</f>
        <v>63128358.089999996</v>
      </c>
      <c r="D23" s="132">
        <f t="shared" si="9"/>
        <v>1651434.8699999999</v>
      </c>
      <c r="E23" s="132">
        <f t="shared" si="9"/>
        <v>0</v>
      </c>
      <c r="F23" s="132">
        <f>SUM(F16:F22)</f>
        <v>539066.97000000009</v>
      </c>
      <c r="G23" s="132">
        <f>SUM(G16:G22)</f>
        <v>0</v>
      </c>
      <c r="H23" s="132">
        <f t="shared" si="9"/>
        <v>0</v>
      </c>
      <c r="I23" s="132">
        <f t="shared" si="0"/>
        <v>3845874262.5799999</v>
      </c>
      <c r="J23" s="133">
        <f>SUM(J16:J22)</f>
        <v>1</v>
      </c>
      <c r="K23" s="134"/>
      <c r="L23" s="126" t="s">
        <v>224</v>
      </c>
      <c r="M23" s="132">
        <f>SUM(M16:M22)</f>
        <v>2578124864.6699991</v>
      </c>
      <c r="N23" s="132">
        <f t="shared" ref="N23:S23" si="10">SUM(N16:N22)</f>
        <v>32437816.850000001</v>
      </c>
      <c r="O23" s="132">
        <f t="shared" si="10"/>
        <v>1325754.8400000001</v>
      </c>
      <c r="P23" s="132">
        <f t="shared" si="10"/>
        <v>0</v>
      </c>
      <c r="Q23" s="132">
        <f>SUM(Q16:Q22)</f>
        <v>550146.02</v>
      </c>
      <c r="R23" s="132">
        <f>SUM(R16:R22)</f>
        <v>0</v>
      </c>
      <c r="S23" s="132">
        <f t="shared" si="10"/>
        <v>0</v>
      </c>
      <c r="T23" s="132">
        <f t="shared" si="2"/>
        <v>2612438582.3799992</v>
      </c>
      <c r="U23" s="135">
        <f>SUM(U16:U22)</f>
        <v>1.0000000000000002</v>
      </c>
      <c r="V23" s="126" t="s">
        <v>224</v>
      </c>
      <c r="W23" s="136"/>
      <c r="X23" s="137">
        <f t="shared" si="4"/>
        <v>3845874262.5799999</v>
      </c>
      <c r="Y23" s="136"/>
      <c r="Z23" s="137">
        <f t="shared" si="5"/>
        <v>2612438582.3799992</v>
      </c>
      <c r="AA23" s="136"/>
      <c r="AB23" s="137">
        <f t="shared" si="6"/>
        <v>1233435680.2000008</v>
      </c>
      <c r="AC23" s="137"/>
      <c r="AD23" s="135">
        <f>I23/T23</f>
        <v>1.4721395896229297</v>
      </c>
      <c r="AE23" s="137"/>
      <c r="AF23" s="135">
        <f t="shared" si="8"/>
        <v>0.47213958962292968</v>
      </c>
    </row>
    <row r="24" spans="1:32" s="54" customFormat="1" ht="54.95" customHeight="1" x14ac:dyDescent="0.85">
      <c r="A24" s="114"/>
      <c r="B24" s="127"/>
      <c r="C24" s="127"/>
      <c r="D24" s="127"/>
      <c r="E24" s="127"/>
      <c r="F24" s="127"/>
      <c r="G24" s="127"/>
      <c r="H24" s="127"/>
      <c r="I24" s="127">
        <f t="shared" si="0"/>
        <v>0</v>
      </c>
      <c r="J24" s="115"/>
      <c r="K24" s="115"/>
      <c r="L24" s="115"/>
      <c r="M24" s="127"/>
      <c r="N24" s="127"/>
      <c r="O24" s="127"/>
      <c r="P24" s="127"/>
      <c r="Q24" s="127"/>
      <c r="R24" s="127"/>
      <c r="S24" s="127"/>
      <c r="T24" s="127">
        <f t="shared" si="2"/>
        <v>0</v>
      </c>
      <c r="U24" s="114"/>
      <c r="V24" s="115"/>
      <c r="W24" s="114"/>
      <c r="X24" s="130"/>
      <c r="Y24" s="114"/>
      <c r="Z24" s="130">
        <f t="shared" si="5"/>
        <v>0</v>
      </c>
      <c r="AA24" s="114"/>
      <c r="AB24" s="130"/>
      <c r="AC24" s="130"/>
      <c r="AD24" s="138"/>
      <c r="AE24" s="130"/>
      <c r="AF24" s="138"/>
    </row>
    <row r="25" spans="1:32" s="54" customFormat="1" ht="54.95" customHeight="1" x14ac:dyDescent="0.85">
      <c r="A25" s="125" t="s">
        <v>209</v>
      </c>
      <c r="B25" s="127"/>
      <c r="C25" s="127"/>
      <c r="D25" s="127"/>
      <c r="E25" s="127"/>
      <c r="F25" s="127"/>
      <c r="G25" s="127"/>
      <c r="H25" s="127"/>
      <c r="I25" s="127">
        <f t="shared" si="0"/>
        <v>0</v>
      </c>
      <c r="J25" s="115"/>
      <c r="K25" s="115"/>
      <c r="L25" s="126" t="s">
        <v>209</v>
      </c>
      <c r="M25" s="127"/>
      <c r="N25" s="127"/>
      <c r="O25" s="127"/>
      <c r="P25" s="127"/>
      <c r="Q25" s="127"/>
      <c r="R25" s="127"/>
      <c r="S25" s="127"/>
      <c r="T25" s="127">
        <f t="shared" si="2"/>
        <v>0</v>
      </c>
      <c r="U25" s="114"/>
      <c r="V25" s="126" t="s">
        <v>209</v>
      </c>
      <c r="W25" s="114"/>
      <c r="X25" s="130"/>
      <c r="Y25" s="114"/>
      <c r="Z25" s="130">
        <f t="shared" si="5"/>
        <v>0</v>
      </c>
      <c r="AA25" s="114"/>
      <c r="AB25" s="130"/>
      <c r="AC25" s="130"/>
      <c r="AD25" s="138"/>
      <c r="AE25" s="130"/>
      <c r="AF25" s="138"/>
    </row>
    <row r="26" spans="1:32" s="54" customFormat="1" ht="54.95" customHeight="1" x14ac:dyDescent="0.85">
      <c r="A26" s="114" t="s">
        <v>218</v>
      </c>
      <c r="B26" s="127">
        <f>[3]CNT!N130+[3]CNT!N142+[3]CNT!N147+[3]CNT!N146+[3]CNT!N151+[3]CNT!N155+[3]CNT!N162</f>
        <v>894395549.28999996</v>
      </c>
      <c r="C26" s="127">
        <f>BPM!J20+BPM!J31</f>
        <v>57471169.739999995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f t="shared" si="0"/>
        <v>951866719.02999997</v>
      </c>
      <c r="J26" s="128">
        <f>I26/$I$33</f>
        <v>0.24795641268888793</v>
      </c>
      <c r="K26" s="128"/>
      <c r="L26" s="115" t="s">
        <v>218</v>
      </c>
      <c r="M26" s="127">
        <f>1289888652.01+266932459.97+-2518325620.45+-268089598.75+2510274790.2-1401515.97+2098588.47</f>
        <v>1281377755.48</v>
      </c>
      <c r="N26" s="127">
        <f>23289238.5+606.81+8792.06</f>
        <v>23298637.369999997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7">
        <f t="shared" si="2"/>
        <v>1304676392.8499999</v>
      </c>
      <c r="U26" s="129">
        <f>T26/$T$33</f>
        <v>0.50056773726715142</v>
      </c>
      <c r="V26" s="115" t="s">
        <v>218</v>
      </c>
      <c r="W26" s="129"/>
      <c r="X26" s="130">
        <f t="shared" si="4"/>
        <v>951866719.02999997</v>
      </c>
      <c r="Y26" s="129"/>
      <c r="Z26" s="130">
        <f t="shared" si="5"/>
        <v>1304676392.8499999</v>
      </c>
      <c r="AA26" s="129"/>
      <c r="AB26" s="130">
        <f>I26-T26</f>
        <v>-352809673.81999993</v>
      </c>
      <c r="AC26" s="130"/>
      <c r="AD26" s="129">
        <f>I26/T26</f>
        <v>0.72958070234619254</v>
      </c>
      <c r="AE26" s="130"/>
      <c r="AF26" s="129">
        <f t="shared" si="8"/>
        <v>-0.27041929765380746</v>
      </c>
    </row>
    <row r="27" spans="1:32" s="54" customFormat="1" ht="54.95" customHeight="1" x14ac:dyDescent="0.85">
      <c r="A27" s="114" t="s">
        <v>219</v>
      </c>
      <c r="B27" s="127">
        <f>[3]CNT!N131+[3]CNT!N143+[3]CNT!N148+[3]CNT!N152+[3]CNT!N156+[3]CNT!N159+[3]CNT!N163</f>
        <v>2853794732.1999993</v>
      </c>
      <c r="C27" s="127">
        <f>BPM!J21+BPM!J32</f>
        <v>2423732.77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f t="shared" si="0"/>
        <v>2856218464.9699993</v>
      </c>
      <c r="J27" s="128">
        <f t="shared" ref="J27:J32" si="11">I27/$I$33</f>
        <v>0.74403030410752524</v>
      </c>
      <c r="K27" s="128"/>
      <c r="L27" s="115" t="s">
        <v>219</v>
      </c>
      <c r="M27" s="127">
        <f>1239521334.28+616907261.73+-609761639.31+5596958501.25+522777.68+-5596551015.03-2471739.16</f>
        <v>1245125481.4400003</v>
      </c>
      <c r="N27" s="127">
        <f>5940610.97+156.76-93088.15</f>
        <v>5847679.5799999991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f t="shared" si="2"/>
        <v>1250973161.0200002</v>
      </c>
      <c r="U27" s="129">
        <f t="shared" ref="U27:U32" si="12">T27/$T$33</f>
        <v>0.47996331352774918</v>
      </c>
      <c r="V27" s="115" t="s">
        <v>219</v>
      </c>
      <c r="W27" s="129"/>
      <c r="X27" s="130">
        <f t="shared" si="4"/>
        <v>2856218464.9699993</v>
      </c>
      <c r="Y27" s="129"/>
      <c r="Z27" s="130">
        <f t="shared" si="5"/>
        <v>1250973161.0200002</v>
      </c>
      <c r="AA27" s="129"/>
      <c r="AB27" s="130">
        <f t="shared" ref="AB27:AB32" si="13">I27-T27</f>
        <v>1605245303.9499991</v>
      </c>
      <c r="AC27" s="130"/>
      <c r="AD27" s="129">
        <f t="shared" ref="AD27:AD32" si="14">I27/T27</f>
        <v>2.2831972371342784</v>
      </c>
      <c r="AE27" s="130"/>
      <c r="AF27" s="129">
        <f t="shared" si="8"/>
        <v>1.2831972371342784</v>
      </c>
    </row>
    <row r="28" spans="1:32" s="54" customFormat="1" ht="54.95" customHeight="1" x14ac:dyDescent="0.85">
      <c r="A28" s="114" t="s">
        <v>220</v>
      </c>
      <c r="B28" s="127">
        <f>[3]CNT!N132+[3]CNT!N144+[3]CNT!N149+[3]CNT!N153+[3]CNT!N157+[3]CNT!N161+[3]CNT!N164</f>
        <v>12912728.390000002</v>
      </c>
      <c r="C28" s="127">
        <f>BPM!J22+BPM!J33</f>
        <v>246980.01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f t="shared" si="0"/>
        <v>13159708.400000002</v>
      </c>
      <c r="J28" s="128">
        <f t="shared" si="11"/>
        <v>3.4280367426030205E-3</v>
      </c>
      <c r="K28" s="128"/>
      <c r="L28" s="115" t="s">
        <v>220</v>
      </c>
      <c r="M28" s="127">
        <f>16906078.85+6082205+-6169507.5+5422584.36+-16029.49+-5531727.5+-76509.03</f>
        <v>16617094.690000003</v>
      </c>
      <c r="N28" s="127">
        <f>1651927.15+2897.1</f>
        <v>1654824.25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f t="shared" si="2"/>
        <v>18271918.940000005</v>
      </c>
      <c r="U28" s="129">
        <f t="shared" si="12"/>
        <v>7.0104227910071292E-3</v>
      </c>
      <c r="V28" s="115" t="s">
        <v>220</v>
      </c>
      <c r="W28" s="129"/>
      <c r="X28" s="130">
        <f t="shared" si="4"/>
        <v>13159708.400000002</v>
      </c>
      <c r="Y28" s="129"/>
      <c r="Z28" s="130">
        <f t="shared" si="5"/>
        <v>18271918.940000005</v>
      </c>
      <c r="AA28" s="129"/>
      <c r="AB28" s="130">
        <f>I28-T28</f>
        <v>-5112210.5400000028</v>
      </c>
      <c r="AC28" s="130"/>
      <c r="AD28" s="129">
        <f t="shared" si="14"/>
        <v>0.72021490699542245</v>
      </c>
      <c r="AE28" s="130"/>
      <c r="AF28" s="129">
        <f t="shared" si="8"/>
        <v>-0.27978509300457755</v>
      </c>
    </row>
    <row r="29" spans="1:32" s="54" customFormat="1" ht="54.95" customHeight="1" x14ac:dyDescent="0.85">
      <c r="A29" s="114" t="s">
        <v>433</v>
      </c>
      <c r="B29" s="127">
        <f>[3]CNT!N133+[3]CNT!N154+[3]CNT!N158+[3]CNT!N165+[3]CNT!N166+[3]CNT!N150+[3]CNT!N145</f>
        <v>11829837.770000001</v>
      </c>
      <c r="C29" s="127">
        <f>BPM!J23</f>
        <v>10988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f t="shared" si="0"/>
        <v>11840825.770000001</v>
      </c>
      <c r="J29" s="128">
        <f t="shared" si="11"/>
        <v>3.0844745619379148E-3</v>
      </c>
      <c r="K29" s="128"/>
      <c r="L29" s="115" t="s">
        <v>433</v>
      </c>
      <c r="M29" s="127">
        <f>26146390.84+153873.75+-157755+2159614.51+-93508.88+877880.08+-2515008.23</f>
        <v>26571487.07</v>
      </c>
      <c r="N29" s="127">
        <f>11092.65-65</f>
        <v>11027.65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7">
        <f t="shared" si="2"/>
        <v>26582514.719999999</v>
      </c>
      <c r="U29" s="129">
        <f t="shared" si="12"/>
        <v>1.0198965289158099E-2</v>
      </c>
      <c r="V29" s="115" t="s">
        <v>433</v>
      </c>
      <c r="W29" s="129"/>
      <c r="X29" s="130">
        <f t="shared" si="4"/>
        <v>11840825.770000001</v>
      </c>
      <c r="Y29" s="129"/>
      <c r="Z29" s="130">
        <f t="shared" si="5"/>
        <v>26582514.719999999</v>
      </c>
      <c r="AA29" s="129"/>
      <c r="AB29" s="130">
        <f t="shared" si="13"/>
        <v>-14741688.949999997</v>
      </c>
      <c r="AC29" s="130"/>
      <c r="AD29" s="129">
        <f t="shared" si="14"/>
        <v>0.44543662985696642</v>
      </c>
      <c r="AE29" s="130"/>
      <c r="AF29" s="129">
        <f t="shared" si="8"/>
        <v>-0.55456337014303358</v>
      </c>
    </row>
    <row r="30" spans="1:32" s="54" customFormat="1" ht="54.95" customHeight="1" x14ac:dyDescent="0.85">
      <c r="A30" s="114" t="s">
        <v>221</v>
      </c>
      <c r="B30" s="127">
        <f>[3]CNT!N136+[3]CNT!N160+[3]CNT!N171</f>
        <v>4474471.5999999996</v>
      </c>
      <c r="C30" s="127">
        <f>0</f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7">
        <f t="shared" si="0"/>
        <v>4474471.5999999996</v>
      </c>
      <c r="J30" s="128">
        <f t="shared" si="11"/>
        <v>1.1655769704238827E-3</v>
      </c>
      <c r="K30" s="128"/>
      <c r="L30" s="115" t="s">
        <v>221</v>
      </c>
      <c r="M30" s="127">
        <f>1297490.5+24000</f>
        <v>1321490.5</v>
      </c>
      <c r="N30" s="127">
        <f>28517+168</f>
        <v>28685</v>
      </c>
      <c r="O30" s="127">
        <v>0</v>
      </c>
      <c r="P30" s="127">
        <v>0</v>
      </c>
      <c r="Q30" s="127">
        <v>0</v>
      </c>
      <c r="R30" s="127">
        <v>0</v>
      </c>
      <c r="S30" s="127">
        <v>0</v>
      </c>
      <c r="T30" s="127">
        <f t="shared" si="2"/>
        <v>1350175.5</v>
      </c>
      <c r="U30" s="129">
        <f t="shared" si="12"/>
        <v>5.1802446848308117E-4</v>
      </c>
      <c r="V30" s="115" t="s">
        <v>221</v>
      </c>
      <c r="W30" s="129"/>
      <c r="X30" s="130">
        <f t="shared" si="4"/>
        <v>4474471.5999999996</v>
      </c>
      <c r="Y30" s="129"/>
      <c r="Z30" s="130">
        <f t="shared" si="5"/>
        <v>1350175.5</v>
      </c>
      <c r="AA30" s="129"/>
      <c r="AB30" s="130">
        <f t="shared" si="13"/>
        <v>3124296.0999999996</v>
      </c>
      <c r="AC30" s="130"/>
      <c r="AD30" s="129">
        <f t="shared" si="14"/>
        <v>3.3139925883709189</v>
      </c>
      <c r="AE30" s="130"/>
      <c r="AF30" s="129">
        <f t="shared" si="8"/>
        <v>2.3139925883709189</v>
      </c>
    </row>
    <row r="31" spans="1:32" s="54" customFormat="1" ht="54.95" customHeight="1" x14ac:dyDescent="0.85">
      <c r="A31" s="114" t="s">
        <v>222</v>
      </c>
      <c r="B31" s="127">
        <f>[3]CNT!N182+[3]CNT!N183+[3]CNT!N184+[3]CNT!N187+[3]CNT!N188+[3]CNT!N189+[3]CNT!N185+[3]CNT!N186</f>
        <v>482370.12</v>
      </c>
      <c r="C31" s="127">
        <f>BPM!J25</f>
        <v>482.93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f t="shared" si="0"/>
        <v>482853.05</v>
      </c>
      <c r="J31" s="128">
        <f t="shared" si="11"/>
        <v>1.257807503301466E-4</v>
      </c>
      <c r="K31" s="128"/>
      <c r="L31" s="115" t="s">
        <v>222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7">
        <v>0</v>
      </c>
      <c r="T31" s="127">
        <f t="shared" si="2"/>
        <v>0</v>
      </c>
      <c r="U31" s="129">
        <f t="shared" si="12"/>
        <v>0</v>
      </c>
      <c r="V31" s="115" t="s">
        <v>222</v>
      </c>
      <c r="W31" s="129"/>
      <c r="X31" s="130">
        <f t="shared" si="4"/>
        <v>482853.05</v>
      </c>
      <c r="Y31" s="129"/>
      <c r="Z31" s="130">
        <f t="shared" si="5"/>
        <v>0</v>
      </c>
      <c r="AA31" s="129"/>
      <c r="AB31" s="130">
        <f t="shared" si="13"/>
        <v>482853.05</v>
      </c>
      <c r="AC31" s="130"/>
      <c r="AD31" s="131">
        <v>0</v>
      </c>
      <c r="AE31" s="130"/>
      <c r="AF31" s="131">
        <v>0</v>
      </c>
    </row>
    <row r="32" spans="1:32" s="54" customFormat="1" ht="54.95" customHeight="1" x14ac:dyDescent="0.85">
      <c r="A32" s="114" t="s">
        <v>223</v>
      </c>
      <c r="B32" s="127">
        <f>[3]CNT!N128+[3]CNT!N135+[3]CNT!N137+[3]CNT!N138+[3]CNT!N140+[3]CNT!N141+[3]CNT!N167+[3]CNT!N168+[3]CNT!N169+[3]CNT!N172+[3]CNT!N173+[3]CNT!N174+[3]CNT!N175+[3]CNT!N176+[3]CNT!N177+[3]CNT!N178+[3]CNT!N179+[3]CNT!N180+[3]CNT!N181+[3]CNT!N170+[3]CNT!N134</f>
        <v>-1569306.6700000011</v>
      </c>
      <c r="C32" s="127">
        <f>BPM!J24+BPM!J26+BPM!J27+BPM!J28+BPM!J29+BPM!J30+BPM!J34+BPM!J35</f>
        <v>2154284.86</v>
      </c>
      <c r="D32" s="127">
        <f>DEP!J23</f>
        <v>217282.57</v>
      </c>
      <c r="E32" s="127">
        <v>0</v>
      </c>
      <c r="F32" s="127">
        <f>'BSC (Dome)'!J18</f>
        <v>1648.2199999999998</v>
      </c>
      <c r="G32" s="127">
        <v>0</v>
      </c>
      <c r="H32" s="127">
        <v>0</v>
      </c>
      <c r="I32" s="127">
        <f t="shared" si="0"/>
        <v>803908.97999999882</v>
      </c>
      <c r="J32" s="128">
        <f t="shared" si="11"/>
        <v>2.0941417829201385E-4</v>
      </c>
      <c r="K32" s="128"/>
      <c r="L32" s="115" t="s">
        <v>223</v>
      </c>
      <c r="M32" s="127">
        <f>-13445.53+60.6+1128622.72+1216891.18+31364.25+1250+9+48251.02+187172.84+276640.6+204650.04+4852+21448.66+111906.1+272.72-1266.32+651.51+-175</f>
        <v>3219156.39</v>
      </c>
      <c r="N32" s="127">
        <f>53229.44+180330.34-5077.75+584477.09+328458.75</f>
        <v>1141417.8700000001</v>
      </c>
      <c r="O32" s="127">
        <v>177636.93</v>
      </c>
      <c r="P32" s="127">
        <v>0</v>
      </c>
      <c r="Q32" s="127">
        <v>918.27</v>
      </c>
      <c r="R32" s="127">
        <v>0</v>
      </c>
      <c r="S32" s="127">
        <v>0</v>
      </c>
      <c r="T32" s="127">
        <f t="shared" si="2"/>
        <v>4539129.459999999</v>
      </c>
      <c r="U32" s="129">
        <f t="shared" si="12"/>
        <v>1.74153665645125E-3</v>
      </c>
      <c r="V32" s="115" t="s">
        <v>223</v>
      </c>
      <c r="W32" s="129"/>
      <c r="X32" s="130">
        <f t="shared" si="4"/>
        <v>803908.97999999882</v>
      </c>
      <c r="Y32" s="129"/>
      <c r="Z32" s="130">
        <f t="shared" si="5"/>
        <v>4539129.459999999</v>
      </c>
      <c r="AA32" s="129"/>
      <c r="AB32" s="130">
        <f t="shared" si="13"/>
        <v>-3735220.4800000004</v>
      </c>
      <c r="AC32" s="130"/>
      <c r="AD32" s="129">
        <f t="shared" si="14"/>
        <v>0.17710642251653227</v>
      </c>
      <c r="AE32" s="130"/>
      <c r="AF32" s="129">
        <f t="shared" si="8"/>
        <v>-0.8228935774834677</v>
      </c>
    </row>
    <row r="33" spans="1:32" s="54" customFormat="1" ht="54.95" customHeight="1" x14ac:dyDescent="0.85">
      <c r="A33" s="125" t="s">
        <v>225</v>
      </c>
      <c r="B33" s="132">
        <f>SUM(B26:B32)</f>
        <v>3776320382.6999989</v>
      </c>
      <c r="C33" s="132">
        <f t="shared" ref="C33:H33" si="15">SUM(C26:C32)</f>
        <v>62307638.309999995</v>
      </c>
      <c r="D33" s="132">
        <f t="shared" si="15"/>
        <v>217282.57</v>
      </c>
      <c r="E33" s="132">
        <f t="shared" si="15"/>
        <v>0</v>
      </c>
      <c r="F33" s="132">
        <f>SUM(F26:F32)</f>
        <v>1648.2199999999998</v>
      </c>
      <c r="G33" s="132">
        <f>SUM(G26:G32)</f>
        <v>0</v>
      </c>
      <c r="H33" s="132">
        <f t="shared" si="15"/>
        <v>0</v>
      </c>
      <c r="I33" s="132">
        <f t="shared" si="0"/>
        <v>3838846951.7999988</v>
      </c>
      <c r="J33" s="133">
        <f>SUM(J26:J32)</f>
        <v>1.0000000000000002</v>
      </c>
      <c r="K33" s="134"/>
      <c r="L33" s="126" t="s">
        <v>225</v>
      </c>
      <c r="M33" s="132">
        <f>SUM(M26:M32)</f>
        <v>2574232465.5700002</v>
      </c>
      <c r="N33" s="132">
        <f t="shared" ref="N33:S33" si="16">SUM(N26:N32)</f>
        <v>31982271.719999995</v>
      </c>
      <c r="O33" s="132">
        <f t="shared" si="16"/>
        <v>177636.93</v>
      </c>
      <c r="P33" s="132">
        <f t="shared" si="16"/>
        <v>0</v>
      </c>
      <c r="Q33" s="132">
        <f>SUM(Q26:Q32)</f>
        <v>918.27</v>
      </c>
      <c r="R33" s="132">
        <f>SUM(R26:R32)</f>
        <v>0</v>
      </c>
      <c r="S33" s="132">
        <f t="shared" si="16"/>
        <v>0</v>
      </c>
      <c r="T33" s="132">
        <f t="shared" si="2"/>
        <v>2606393292.4899998</v>
      </c>
      <c r="U33" s="135">
        <f>SUM(U26:U32)</f>
        <v>1</v>
      </c>
      <c r="V33" s="126" t="s">
        <v>225</v>
      </c>
      <c r="W33" s="136"/>
      <c r="X33" s="137">
        <f t="shared" si="4"/>
        <v>3838846951.7999988</v>
      </c>
      <c r="Y33" s="136"/>
      <c r="Z33" s="137">
        <f t="shared" si="5"/>
        <v>2606393292.4899998</v>
      </c>
      <c r="AA33" s="136"/>
      <c r="AB33" s="137">
        <f>SUM(AB26:AB32)</f>
        <v>1232453659.309999</v>
      </c>
      <c r="AC33" s="137"/>
      <c r="AD33" s="135">
        <f>I33/T33</f>
        <v>1.4728579001723039</v>
      </c>
      <c r="AE33" s="137"/>
      <c r="AF33" s="135">
        <f t="shared" si="8"/>
        <v>0.47285790017230389</v>
      </c>
    </row>
    <row r="34" spans="1:32" s="54" customFormat="1" ht="54.95" customHeight="1" x14ac:dyDescent="0.85">
      <c r="A34" s="114"/>
      <c r="B34" s="127"/>
      <c r="C34" s="127"/>
      <c r="D34" s="127"/>
      <c r="E34" s="127"/>
      <c r="F34" s="127"/>
      <c r="G34" s="127"/>
      <c r="H34" s="127"/>
      <c r="I34" s="127"/>
      <c r="J34" s="115"/>
      <c r="K34" s="115"/>
      <c r="L34" s="115"/>
      <c r="M34" s="127"/>
      <c r="N34" s="127"/>
      <c r="O34" s="127"/>
      <c r="P34" s="127"/>
      <c r="Q34" s="127"/>
      <c r="R34" s="127"/>
      <c r="S34" s="127"/>
      <c r="T34" s="127"/>
      <c r="U34" s="114"/>
      <c r="V34" s="115"/>
      <c r="W34" s="114"/>
      <c r="X34" s="130"/>
      <c r="Y34" s="114"/>
      <c r="Z34" s="130"/>
      <c r="AA34" s="114"/>
      <c r="AB34" s="130"/>
      <c r="AC34" s="130"/>
      <c r="AD34" s="129"/>
      <c r="AE34" s="130"/>
      <c r="AF34" s="129"/>
    </row>
    <row r="35" spans="1:32" s="54" customFormat="1" ht="54.95" customHeight="1" thickBot="1" x14ac:dyDescent="0.9">
      <c r="A35" s="125" t="s">
        <v>212</v>
      </c>
      <c r="B35" s="139">
        <f>B23-B33</f>
        <v>4235019.9500012398</v>
      </c>
      <c r="C35" s="139">
        <f t="shared" ref="C35:H35" si="17">C23-C33</f>
        <v>820719.78000000119</v>
      </c>
      <c r="D35" s="139">
        <f t="shared" si="17"/>
        <v>1434152.2999999998</v>
      </c>
      <c r="E35" s="139">
        <f t="shared" si="17"/>
        <v>0</v>
      </c>
      <c r="F35" s="139">
        <f>F23-F33</f>
        <v>537418.75000000012</v>
      </c>
      <c r="G35" s="139">
        <f>G23-G33</f>
        <v>0</v>
      </c>
      <c r="H35" s="139">
        <f t="shared" si="17"/>
        <v>0</v>
      </c>
      <c r="I35" s="139">
        <f t="shared" si="0"/>
        <v>7027310.7800012408</v>
      </c>
      <c r="J35" s="115"/>
      <c r="K35" s="115"/>
      <c r="L35" s="126" t="s">
        <v>212</v>
      </c>
      <c r="M35" s="139">
        <f>M23-M33</f>
        <v>3892399.099998951</v>
      </c>
      <c r="N35" s="139">
        <f t="shared" ref="N35:S35" si="18">N23-N33</f>
        <v>455545.13000000641</v>
      </c>
      <c r="O35" s="139">
        <f t="shared" si="18"/>
        <v>1148117.9100000001</v>
      </c>
      <c r="P35" s="139">
        <f t="shared" si="18"/>
        <v>0</v>
      </c>
      <c r="Q35" s="139">
        <f>Q23-Q33</f>
        <v>549227.75</v>
      </c>
      <c r="R35" s="139">
        <f>R23-R33</f>
        <v>0</v>
      </c>
      <c r="S35" s="139">
        <f t="shared" si="18"/>
        <v>0</v>
      </c>
      <c r="T35" s="139">
        <f t="shared" si="2"/>
        <v>6045289.8899989575</v>
      </c>
      <c r="U35" s="114"/>
      <c r="V35" s="126" t="s">
        <v>212</v>
      </c>
      <c r="W35" s="114"/>
      <c r="X35" s="140">
        <f t="shared" si="4"/>
        <v>7027310.7800012408</v>
      </c>
      <c r="Y35" s="114"/>
      <c r="Z35" s="140">
        <f t="shared" si="5"/>
        <v>6045289.8899989575</v>
      </c>
      <c r="AA35" s="114"/>
      <c r="AB35" s="140">
        <f>I35-T35</f>
        <v>982020.89000228327</v>
      </c>
      <c r="AC35" s="140"/>
      <c r="AD35" s="141">
        <f>I35/T35</f>
        <v>1.1624439700777447</v>
      </c>
      <c r="AE35" s="140"/>
      <c r="AF35" s="141">
        <f t="shared" si="8"/>
        <v>0.16244397007774469</v>
      </c>
    </row>
    <row r="36" spans="1:32" s="54" customFormat="1" ht="54.95" customHeight="1" x14ac:dyDescent="0.85">
      <c r="A36" s="114"/>
      <c r="B36" s="127"/>
      <c r="C36" s="127"/>
      <c r="D36" s="127"/>
      <c r="E36" s="127"/>
      <c r="F36" s="127"/>
      <c r="G36" s="127"/>
      <c r="H36" s="127"/>
      <c r="I36" s="127">
        <f t="shared" si="0"/>
        <v>0</v>
      </c>
      <c r="J36" s="115"/>
      <c r="K36" s="115"/>
      <c r="L36" s="115"/>
      <c r="M36" s="127"/>
      <c r="N36" s="127"/>
      <c r="O36" s="127"/>
      <c r="P36" s="127"/>
      <c r="Q36" s="127"/>
      <c r="R36" s="127"/>
      <c r="S36" s="127"/>
      <c r="T36" s="127">
        <f t="shared" si="2"/>
        <v>0</v>
      </c>
      <c r="U36" s="114"/>
      <c r="V36" s="115"/>
      <c r="W36" s="114"/>
      <c r="X36" s="130"/>
      <c r="Y36" s="114"/>
      <c r="Z36" s="130">
        <f t="shared" si="5"/>
        <v>0</v>
      </c>
      <c r="AA36" s="114"/>
      <c r="AB36" s="130"/>
      <c r="AC36" s="130"/>
      <c r="AD36" s="138"/>
      <c r="AE36" s="130"/>
      <c r="AF36" s="138"/>
    </row>
    <row r="37" spans="1:32" s="54" customFormat="1" ht="54.95" customHeight="1" x14ac:dyDescent="0.85">
      <c r="A37" s="125" t="s">
        <v>210</v>
      </c>
      <c r="B37" s="127"/>
      <c r="C37" s="127"/>
      <c r="D37" s="127"/>
      <c r="E37" s="127"/>
      <c r="F37" s="127"/>
      <c r="G37" s="127"/>
      <c r="H37" s="127"/>
      <c r="I37" s="127">
        <f t="shared" si="0"/>
        <v>0</v>
      </c>
      <c r="J37" s="115"/>
      <c r="K37" s="115"/>
      <c r="L37" s="126" t="s">
        <v>210</v>
      </c>
      <c r="M37" s="127"/>
      <c r="N37" s="127"/>
      <c r="O37" s="127"/>
      <c r="P37" s="127"/>
      <c r="Q37" s="127"/>
      <c r="R37" s="127"/>
      <c r="S37" s="127"/>
      <c r="T37" s="127">
        <f t="shared" si="2"/>
        <v>0</v>
      </c>
      <c r="U37" s="114"/>
      <c r="V37" s="126" t="s">
        <v>210</v>
      </c>
      <c r="W37" s="114"/>
      <c r="X37" s="130"/>
      <c r="Y37" s="114"/>
      <c r="Z37" s="130">
        <f t="shared" si="5"/>
        <v>0</v>
      </c>
      <c r="AA37" s="114"/>
      <c r="AB37" s="130"/>
      <c r="AC37" s="130"/>
      <c r="AD37" s="138"/>
      <c r="AE37" s="130"/>
      <c r="AF37" s="138"/>
    </row>
    <row r="38" spans="1:32" s="54" customFormat="1" ht="54.95" customHeight="1" x14ac:dyDescent="0.85">
      <c r="A38" s="114"/>
      <c r="B38" s="127"/>
      <c r="C38" s="127"/>
      <c r="D38" s="127"/>
      <c r="E38" s="127"/>
      <c r="F38" s="127"/>
      <c r="G38" s="127"/>
      <c r="H38" s="127"/>
      <c r="I38" s="127">
        <f t="shared" si="0"/>
        <v>0</v>
      </c>
      <c r="J38" s="115"/>
      <c r="K38" s="115"/>
      <c r="L38" s="115"/>
      <c r="M38" s="127"/>
      <c r="N38" s="127"/>
      <c r="O38" s="127"/>
      <c r="P38" s="127"/>
      <c r="Q38" s="127"/>
      <c r="R38" s="127"/>
      <c r="S38" s="127"/>
      <c r="T38" s="127">
        <f t="shared" si="2"/>
        <v>0</v>
      </c>
      <c r="U38" s="114"/>
      <c r="V38" s="115"/>
      <c r="W38" s="114"/>
      <c r="X38" s="130"/>
      <c r="Y38" s="114"/>
      <c r="Z38" s="130">
        <f t="shared" si="5"/>
        <v>0</v>
      </c>
      <c r="AA38" s="114"/>
      <c r="AB38" s="130"/>
      <c r="AC38" s="130"/>
      <c r="AD38" s="138"/>
      <c r="AE38" s="130"/>
      <c r="AF38" s="138"/>
    </row>
    <row r="39" spans="1:32" s="54" customFormat="1" ht="54.95" customHeight="1" x14ac:dyDescent="0.85">
      <c r="A39" s="125" t="s">
        <v>226</v>
      </c>
      <c r="B39" s="127"/>
      <c r="C39" s="127"/>
      <c r="D39" s="127"/>
      <c r="E39" s="127"/>
      <c r="F39" s="127"/>
      <c r="G39" s="127"/>
      <c r="H39" s="127"/>
      <c r="I39" s="127">
        <f t="shared" si="0"/>
        <v>0</v>
      </c>
      <c r="J39" s="115"/>
      <c r="K39" s="115"/>
      <c r="L39" s="126" t="s">
        <v>226</v>
      </c>
      <c r="M39" s="127"/>
      <c r="N39" s="127"/>
      <c r="O39" s="127"/>
      <c r="P39" s="127"/>
      <c r="Q39" s="127"/>
      <c r="R39" s="127"/>
      <c r="S39" s="127"/>
      <c r="T39" s="127">
        <f t="shared" si="2"/>
        <v>0</v>
      </c>
      <c r="U39" s="114"/>
      <c r="V39" s="126" t="s">
        <v>226</v>
      </c>
      <c r="W39" s="114"/>
      <c r="X39" s="130"/>
      <c r="Y39" s="114"/>
      <c r="Z39" s="130">
        <f t="shared" si="5"/>
        <v>0</v>
      </c>
      <c r="AA39" s="114"/>
      <c r="AB39" s="130"/>
      <c r="AC39" s="130"/>
      <c r="AD39" s="138"/>
      <c r="AE39" s="130"/>
      <c r="AF39" s="138"/>
    </row>
    <row r="40" spans="1:32" s="54" customFormat="1" ht="54.95" customHeight="1" x14ac:dyDescent="0.85">
      <c r="A40" s="114" t="s">
        <v>227</v>
      </c>
      <c r="B40" s="127">
        <f>CNT!N193</f>
        <v>2498913.25</v>
      </c>
      <c r="C40" s="127">
        <v>0</v>
      </c>
      <c r="D40" s="127">
        <f>DEP!J29</f>
        <v>69792.83</v>
      </c>
      <c r="E40" s="127">
        <v>0</v>
      </c>
      <c r="F40" s="127">
        <f>'BSC (Dome)'!J24+'BSC (Dome)'!J31</f>
        <v>210608.88999999998</v>
      </c>
      <c r="G40" s="127">
        <v>0</v>
      </c>
      <c r="H40" s="127">
        <v>0</v>
      </c>
      <c r="I40" s="127">
        <f t="shared" si="0"/>
        <v>2779314.97</v>
      </c>
      <c r="J40" s="128">
        <f>I40/$I$49</f>
        <v>0.7953301975253847</v>
      </c>
      <c r="K40" s="128"/>
      <c r="L40" s="115" t="s">
        <v>227</v>
      </c>
      <c r="M40" s="127">
        <v>2609869.27</v>
      </c>
      <c r="N40" s="127">
        <v>0</v>
      </c>
      <c r="O40" s="127">
        <v>104142.25</v>
      </c>
      <c r="P40" s="127">
        <v>0</v>
      </c>
      <c r="Q40" s="127">
        <f>166161.86+44908</f>
        <v>211069.86</v>
      </c>
      <c r="R40" s="127">
        <v>0</v>
      </c>
      <c r="S40" s="127">
        <v>0</v>
      </c>
      <c r="T40" s="127">
        <f t="shared" si="2"/>
        <v>2925081.38</v>
      </c>
      <c r="U40" s="129">
        <f>T40/$T$49</f>
        <v>0.77337439783373618</v>
      </c>
      <c r="V40" s="115" t="s">
        <v>227</v>
      </c>
      <c r="W40" s="129"/>
      <c r="X40" s="130">
        <f t="shared" si="4"/>
        <v>2779314.97</v>
      </c>
      <c r="Y40" s="129"/>
      <c r="Z40" s="130">
        <f t="shared" si="5"/>
        <v>2925081.38</v>
      </c>
      <c r="AA40" s="129"/>
      <c r="AB40" s="130">
        <f>I40-T40</f>
        <v>-145766.40999999968</v>
      </c>
      <c r="AC40" s="130"/>
      <c r="AD40" s="129">
        <f>I40/T40</f>
        <v>0.95016671638722072</v>
      </c>
      <c r="AE40" s="130"/>
      <c r="AF40" s="129">
        <f t="shared" si="8"/>
        <v>-4.9833283612779278E-2</v>
      </c>
    </row>
    <row r="41" spans="1:32" s="54" customFormat="1" ht="54.95" customHeight="1" x14ac:dyDescent="0.85">
      <c r="A41" s="114" t="s">
        <v>228</v>
      </c>
      <c r="B41" s="127">
        <f>CNT!N195</f>
        <v>21929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27">
        <f t="shared" si="0"/>
        <v>21929</v>
      </c>
      <c r="J41" s="128">
        <f t="shared" ref="J41:J48" si="19">I41/$I$49</f>
        <v>6.275213888958458E-3</v>
      </c>
      <c r="K41" s="128"/>
      <c r="L41" s="115" t="s">
        <v>228</v>
      </c>
      <c r="M41" s="127">
        <v>21098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7">
        <v>0</v>
      </c>
      <c r="T41" s="127">
        <f t="shared" si="2"/>
        <v>21098</v>
      </c>
      <c r="U41" s="129">
        <f t="shared" ref="U41:U48" si="20">T41/$T$49</f>
        <v>5.5781877239586978E-3</v>
      </c>
      <c r="V41" s="115" t="s">
        <v>228</v>
      </c>
      <c r="W41" s="129"/>
      <c r="X41" s="130">
        <f t="shared" si="4"/>
        <v>21929</v>
      </c>
      <c r="Y41" s="129"/>
      <c r="Z41" s="130">
        <f t="shared" si="5"/>
        <v>21098</v>
      </c>
      <c r="AA41" s="129"/>
      <c r="AB41" s="130">
        <f t="shared" ref="AB41:AB48" si="21">I41-T41</f>
        <v>831</v>
      </c>
      <c r="AC41" s="130"/>
      <c r="AD41" s="129">
        <f t="shared" ref="AD41:AD48" si="22">I41/T41</f>
        <v>1.0393876196795906</v>
      </c>
      <c r="AE41" s="130"/>
      <c r="AF41" s="129">
        <f t="shared" si="8"/>
        <v>3.9387619679590591E-2</v>
      </c>
    </row>
    <row r="42" spans="1:32" s="54" customFormat="1" ht="54.95" customHeight="1" x14ac:dyDescent="0.85">
      <c r="A42" s="114" t="s">
        <v>229</v>
      </c>
      <c r="B42" s="127">
        <f>CNT!N196</f>
        <v>214768.75999999998</v>
      </c>
      <c r="C42" s="127">
        <v>0</v>
      </c>
      <c r="D42" s="127">
        <f>DEP!J30</f>
        <v>7444.7600000000011</v>
      </c>
      <c r="E42" s="127">
        <v>0</v>
      </c>
      <c r="F42" s="127">
        <f>'BSC (Dome)'!J25</f>
        <v>14035.000000000002</v>
      </c>
      <c r="G42" s="127">
        <v>0</v>
      </c>
      <c r="H42" s="127">
        <v>0</v>
      </c>
      <c r="I42" s="127">
        <f t="shared" si="0"/>
        <v>236248.52</v>
      </c>
      <c r="J42" s="128">
        <f t="shared" si="19"/>
        <v>6.7604997672027003E-2</v>
      </c>
      <c r="K42" s="128"/>
      <c r="L42" s="115" t="s">
        <v>229</v>
      </c>
      <c r="M42" s="127">
        <v>216269.19</v>
      </c>
      <c r="N42" s="127">
        <v>0</v>
      </c>
      <c r="O42" s="127">
        <v>8563.02</v>
      </c>
      <c r="P42" s="127">
        <v>0</v>
      </c>
      <c r="Q42" s="127">
        <v>14129.88</v>
      </c>
      <c r="R42" s="127">
        <v>0</v>
      </c>
      <c r="S42" s="127">
        <v>0</v>
      </c>
      <c r="T42" s="127">
        <f t="shared" si="2"/>
        <v>238962.09</v>
      </c>
      <c r="U42" s="129">
        <f t="shared" si="20"/>
        <v>6.3180178070410153E-2</v>
      </c>
      <c r="V42" s="115" t="s">
        <v>229</v>
      </c>
      <c r="W42" s="129"/>
      <c r="X42" s="130">
        <f t="shared" si="4"/>
        <v>236248.52</v>
      </c>
      <c r="Y42" s="129"/>
      <c r="Z42" s="130">
        <f t="shared" si="5"/>
        <v>238962.09</v>
      </c>
      <c r="AA42" s="129"/>
      <c r="AB42" s="130">
        <f t="shared" si="21"/>
        <v>-2713.570000000007</v>
      </c>
      <c r="AC42" s="130"/>
      <c r="AD42" s="129">
        <f t="shared" si="22"/>
        <v>0.98864434940286972</v>
      </c>
      <c r="AE42" s="130"/>
      <c r="AF42" s="129">
        <f t="shared" si="8"/>
        <v>-1.1355650597130285E-2</v>
      </c>
    </row>
    <row r="43" spans="1:32" s="54" customFormat="1" ht="54.95" customHeight="1" x14ac:dyDescent="0.85">
      <c r="A43" s="114" t="s">
        <v>230</v>
      </c>
      <c r="B43" s="127">
        <f>CNT!N197</f>
        <v>216315.38</v>
      </c>
      <c r="C43" s="127">
        <v>0</v>
      </c>
      <c r="D43" s="127">
        <f>DEP!J31</f>
        <v>25033.31</v>
      </c>
      <c r="E43" s="127">
        <v>0</v>
      </c>
      <c r="F43" s="127">
        <f>'BSC (Dome)'!J26</f>
        <v>40198.289999999994</v>
      </c>
      <c r="G43" s="127">
        <v>0</v>
      </c>
      <c r="H43" s="127">
        <v>0</v>
      </c>
      <c r="I43" s="127">
        <f t="shared" si="0"/>
        <v>281546.98</v>
      </c>
      <c r="J43" s="128">
        <f t="shared" si="19"/>
        <v>8.0567628222459262E-2</v>
      </c>
      <c r="K43" s="128"/>
      <c r="L43" s="115" t="s">
        <v>230</v>
      </c>
      <c r="M43" s="127">
        <v>294641.73</v>
      </c>
      <c r="N43" s="127">
        <v>0</v>
      </c>
      <c r="O43" s="127">
        <v>38432.32</v>
      </c>
      <c r="P43" s="127">
        <v>0</v>
      </c>
      <c r="Q43" s="127">
        <v>35607.15</v>
      </c>
      <c r="R43" s="127">
        <v>0</v>
      </c>
      <c r="S43" s="127">
        <v>0</v>
      </c>
      <c r="T43" s="127">
        <f t="shared" si="2"/>
        <v>368681.2</v>
      </c>
      <c r="U43" s="129">
        <f t="shared" si="20"/>
        <v>9.7477151573341608E-2</v>
      </c>
      <c r="V43" s="115" t="s">
        <v>230</v>
      </c>
      <c r="W43" s="129"/>
      <c r="X43" s="130">
        <f t="shared" si="4"/>
        <v>281546.98</v>
      </c>
      <c r="Y43" s="129"/>
      <c r="Z43" s="130">
        <f t="shared" si="5"/>
        <v>368681.2</v>
      </c>
      <c r="AA43" s="129"/>
      <c r="AB43" s="130">
        <f t="shared" si="21"/>
        <v>-87134.22000000003</v>
      </c>
      <c r="AC43" s="130"/>
      <c r="AD43" s="129">
        <f t="shared" si="22"/>
        <v>0.76365971468032534</v>
      </c>
      <c r="AE43" s="130"/>
      <c r="AF43" s="129">
        <f t="shared" si="8"/>
        <v>-0.23634028531967466</v>
      </c>
    </row>
    <row r="44" spans="1:32" s="54" customFormat="1" ht="54.95" customHeight="1" x14ac:dyDescent="0.85">
      <c r="A44" s="114" t="s">
        <v>231</v>
      </c>
      <c r="B44" s="127">
        <f>CNT!N198</f>
        <v>31748.940000000002</v>
      </c>
      <c r="C44" s="127">
        <v>0</v>
      </c>
      <c r="D44" s="127">
        <f>DEP!J32</f>
        <v>1735.84</v>
      </c>
      <c r="E44" s="127">
        <v>0</v>
      </c>
      <c r="F44" s="127">
        <f>'BSC (Dome)'!J27</f>
        <v>2427.5699999999997</v>
      </c>
      <c r="G44" s="127">
        <v>0</v>
      </c>
      <c r="H44" s="127">
        <v>0</v>
      </c>
      <c r="I44" s="127">
        <f t="shared" si="0"/>
        <v>35912.35</v>
      </c>
      <c r="J44" s="128">
        <f t="shared" si="19"/>
        <v>1.0276696498022585E-2</v>
      </c>
      <c r="K44" s="128"/>
      <c r="L44" s="115" t="s">
        <v>231</v>
      </c>
      <c r="M44" s="127">
        <v>45841.87</v>
      </c>
      <c r="N44" s="127">
        <v>0</v>
      </c>
      <c r="O44" s="127">
        <v>3811.76</v>
      </c>
      <c r="P44" s="127">
        <v>0</v>
      </c>
      <c r="Q44" s="127">
        <v>0</v>
      </c>
      <c r="R44" s="127">
        <v>0</v>
      </c>
      <c r="S44" s="127">
        <v>0</v>
      </c>
      <c r="T44" s="127">
        <f t="shared" si="2"/>
        <v>49653.630000000005</v>
      </c>
      <c r="U44" s="129">
        <f t="shared" si="20"/>
        <v>1.3128129174139127E-2</v>
      </c>
      <c r="V44" s="115" t="s">
        <v>231</v>
      </c>
      <c r="W44" s="129"/>
      <c r="X44" s="130">
        <f t="shared" si="4"/>
        <v>35912.35</v>
      </c>
      <c r="Y44" s="129"/>
      <c r="Z44" s="130">
        <f t="shared" si="5"/>
        <v>49653.630000000005</v>
      </c>
      <c r="AA44" s="129"/>
      <c r="AB44" s="130">
        <f t="shared" si="21"/>
        <v>-13741.280000000006</v>
      </c>
      <c r="AC44" s="130"/>
      <c r="AD44" s="129">
        <f t="shared" si="22"/>
        <v>0.72325729256853921</v>
      </c>
      <c r="AE44" s="130"/>
      <c r="AF44" s="129">
        <f t="shared" si="8"/>
        <v>-0.27674270743146079</v>
      </c>
    </row>
    <row r="45" spans="1:32" s="54" customFormat="1" ht="54.95" customHeight="1" x14ac:dyDescent="0.85">
      <c r="A45" s="114" t="s">
        <v>232</v>
      </c>
      <c r="B45" s="127">
        <f>CNT!N199</f>
        <v>71635</v>
      </c>
      <c r="C45" s="127">
        <v>0</v>
      </c>
      <c r="D45" s="127">
        <f>DEP!J33</f>
        <v>2600</v>
      </c>
      <c r="E45" s="127">
        <v>0</v>
      </c>
      <c r="F45" s="127">
        <f>'BSC (Dome)'!J29</f>
        <v>3750</v>
      </c>
      <c r="G45" s="127">
        <v>0</v>
      </c>
      <c r="H45" s="127">
        <v>0</v>
      </c>
      <c r="I45" s="127">
        <f t="shared" si="0"/>
        <v>77985</v>
      </c>
      <c r="J45" s="128">
        <f t="shared" si="19"/>
        <v>2.2316227604105312E-2</v>
      </c>
      <c r="K45" s="128"/>
      <c r="L45" s="115" t="s">
        <v>232</v>
      </c>
      <c r="M45" s="127">
        <v>91744</v>
      </c>
      <c r="N45" s="127">
        <v>0</v>
      </c>
      <c r="O45" s="127">
        <v>3640</v>
      </c>
      <c r="P45" s="127">
        <v>0</v>
      </c>
      <c r="Q45" s="127">
        <v>18584</v>
      </c>
      <c r="R45" s="127">
        <v>0</v>
      </c>
      <c r="S45" s="127">
        <v>0</v>
      </c>
      <c r="T45" s="127">
        <f t="shared" si="2"/>
        <v>113968</v>
      </c>
      <c r="U45" s="129">
        <f t="shared" si="20"/>
        <v>3.0132472202299972E-2</v>
      </c>
      <c r="V45" s="115" t="s">
        <v>232</v>
      </c>
      <c r="W45" s="129"/>
      <c r="X45" s="130">
        <f t="shared" si="4"/>
        <v>77985</v>
      </c>
      <c r="Y45" s="129"/>
      <c r="Z45" s="130">
        <f t="shared" si="5"/>
        <v>113968</v>
      </c>
      <c r="AA45" s="129"/>
      <c r="AB45" s="130">
        <f t="shared" si="21"/>
        <v>-35983</v>
      </c>
      <c r="AC45" s="130"/>
      <c r="AD45" s="129">
        <f t="shared" si="22"/>
        <v>0.68427102344517754</v>
      </c>
      <c r="AE45" s="130"/>
      <c r="AF45" s="129">
        <f t="shared" si="8"/>
        <v>-0.31572897655482246</v>
      </c>
    </row>
    <row r="46" spans="1:32" s="54" customFormat="1" ht="54.95" customHeight="1" x14ac:dyDescent="0.85">
      <c r="A46" s="114" t="s">
        <v>311</v>
      </c>
      <c r="B46" s="127">
        <f>CNT!N201+CNT!N200</f>
        <v>12039.630000000001</v>
      </c>
      <c r="C46" s="127">
        <v>0</v>
      </c>
      <c r="D46" s="127">
        <f>DEP!J34</f>
        <v>992.56</v>
      </c>
      <c r="E46" s="127">
        <v>0</v>
      </c>
      <c r="F46" s="127">
        <f>'BSC (Dome)'!J28+'BSC (Dome)'!J30</f>
        <v>2542.77</v>
      </c>
      <c r="G46" s="127">
        <v>0</v>
      </c>
      <c r="H46" s="127">
        <v>0</v>
      </c>
      <c r="I46" s="127">
        <f t="shared" si="0"/>
        <v>15574.960000000001</v>
      </c>
      <c r="J46" s="128">
        <f t="shared" si="19"/>
        <v>4.4569385431151637E-3</v>
      </c>
      <c r="K46" s="128"/>
      <c r="L46" s="115" t="s">
        <v>311</v>
      </c>
      <c r="M46" s="127">
        <f>4612.45+18690.23</f>
        <v>23302.68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7">
        <v>0</v>
      </c>
      <c r="T46" s="127">
        <f t="shared" si="2"/>
        <v>23302.68</v>
      </c>
      <c r="U46" s="129">
        <f t="shared" si="20"/>
        <v>6.1610922130693841E-3</v>
      </c>
      <c r="V46" s="115" t="s">
        <v>311</v>
      </c>
      <c r="W46" s="129"/>
      <c r="X46" s="130">
        <f t="shared" si="4"/>
        <v>15574.960000000001</v>
      </c>
      <c r="Y46" s="129"/>
      <c r="Z46" s="130">
        <f t="shared" si="5"/>
        <v>23302.68</v>
      </c>
      <c r="AA46" s="129"/>
      <c r="AB46" s="130">
        <f t="shared" si="21"/>
        <v>-7727.7199999999993</v>
      </c>
      <c r="AC46" s="130"/>
      <c r="AD46" s="129">
        <f t="shared" si="22"/>
        <v>0.66837634126203516</v>
      </c>
      <c r="AE46" s="130"/>
      <c r="AF46" s="129">
        <f t="shared" si="8"/>
        <v>-0.33162365873796484</v>
      </c>
    </row>
    <row r="47" spans="1:32" s="54" customFormat="1" ht="54.95" customHeight="1" x14ac:dyDescent="0.85">
      <c r="A47" s="114" t="s">
        <v>233</v>
      </c>
      <c r="B47" s="127">
        <f>CNT!N202+CNT!N203</f>
        <v>5381.74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7">
        <f t="shared" si="0"/>
        <v>5381.74</v>
      </c>
      <c r="J47" s="128">
        <f t="shared" si="19"/>
        <v>1.5400414790808195E-3</v>
      </c>
      <c r="K47" s="128"/>
      <c r="L47" s="115" t="s">
        <v>233</v>
      </c>
      <c r="M47" s="127">
        <v>0</v>
      </c>
      <c r="N47" s="127">
        <v>0</v>
      </c>
      <c r="O47" s="127">
        <v>0</v>
      </c>
      <c r="P47" s="127">
        <v>0</v>
      </c>
      <c r="Q47" s="127">
        <v>0</v>
      </c>
      <c r="R47" s="127">
        <v>0</v>
      </c>
      <c r="S47" s="127">
        <v>0</v>
      </c>
      <c r="T47" s="127">
        <f t="shared" si="2"/>
        <v>0</v>
      </c>
      <c r="U47" s="129">
        <f t="shared" si="20"/>
        <v>0</v>
      </c>
      <c r="V47" s="115" t="s">
        <v>233</v>
      </c>
      <c r="W47" s="129"/>
      <c r="X47" s="130">
        <f t="shared" si="4"/>
        <v>5381.74</v>
      </c>
      <c r="Y47" s="129"/>
      <c r="Z47" s="130">
        <f t="shared" si="5"/>
        <v>0</v>
      </c>
      <c r="AA47" s="129"/>
      <c r="AB47" s="130">
        <f t="shared" si="21"/>
        <v>5381.74</v>
      </c>
      <c r="AC47" s="130"/>
      <c r="AD47" s="129" t="e">
        <f t="shared" si="22"/>
        <v>#DIV/0!</v>
      </c>
      <c r="AE47" s="130"/>
      <c r="AF47" s="129" t="e">
        <f t="shared" si="8"/>
        <v>#DIV/0!</v>
      </c>
    </row>
    <row r="48" spans="1:32" s="54" customFormat="1" ht="54.95" customHeight="1" x14ac:dyDescent="0.85">
      <c r="A48" s="114" t="s">
        <v>248</v>
      </c>
      <c r="B48" s="127">
        <f>CNT!N226</f>
        <v>40648.720000000001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7">
        <f t="shared" si="0"/>
        <v>40648.720000000001</v>
      </c>
      <c r="J48" s="128">
        <f t="shared" si="19"/>
        <v>1.1632058566846799E-2</v>
      </c>
      <c r="K48" s="128"/>
      <c r="L48" s="115" t="s">
        <v>248</v>
      </c>
      <c r="M48" s="127">
        <v>41485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>
        <v>0</v>
      </c>
      <c r="T48" s="127">
        <f t="shared" si="2"/>
        <v>41485</v>
      </c>
      <c r="U48" s="129">
        <f t="shared" si="20"/>
        <v>1.096839120904477E-2</v>
      </c>
      <c r="V48" s="115" t="s">
        <v>248</v>
      </c>
      <c r="W48" s="129"/>
      <c r="X48" s="130">
        <f t="shared" si="4"/>
        <v>40648.720000000001</v>
      </c>
      <c r="Y48" s="129"/>
      <c r="Z48" s="130">
        <f t="shared" si="5"/>
        <v>41485</v>
      </c>
      <c r="AA48" s="129"/>
      <c r="AB48" s="130">
        <f t="shared" si="21"/>
        <v>-836.27999999999884</v>
      </c>
      <c r="AC48" s="130"/>
      <c r="AD48" s="129">
        <f t="shared" si="22"/>
        <v>0.97984138845365798</v>
      </c>
      <c r="AE48" s="130"/>
      <c r="AF48" s="129">
        <f t="shared" si="8"/>
        <v>-2.015861154634202E-2</v>
      </c>
    </row>
    <row r="49" spans="1:32" s="54" customFormat="1" ht="54.95" customHeight="1" x14ac:dyDescent="0.85">
      <c r="A49" s="125" t="s">
        <v>234</v>
      </c>
      <c r="B49" s="132">
        <f t="shared" ref="B49:H49" si="23">SUM(B40:B48)</f>
        <v>3113380.42</v>
      </c>
      <c r="C49" s="132">
        <f t="shared" si="23"/>
        <v>0</v>
      </c>
      <c r="D49" s="132">
        <f t="shared" si="23"/>
        <v>107599.29999999999</v>
      </c>
      <c r="E49" s="132">
        <f t="shared" si="23"/>
        <v>0</v>
      </c>
      <c r="F49" s="132">
        <f>SUM(F40:F48)</f>
        <v>273562.52</v>
      </c>
      <c r="G49" s="132">
        <f t="shared" si="23"/>
        <v>0</v>
      </c>
      <c r="H49" s="132">
        <f t="shared" si="23"/>
        <v>0</v>
      </c>
      <c r="I49" s="132">
        <f t="shared" si="0"/>
        <v>3494542.2399999998</v>
      </c>
      <c r="J49" s="133">
        <f>SUM(J40:J48)</f>
        <v>1</v>
      </c>
      <c r="K49" s="134"/>
      <c r="L49" s="126" t="s">
        <v>234</v>
      </c>
      <c r="M49" s="132">
        <f t="shared" ref="M49:S49" si="24">SUM(M40:M48)</f>
        <v>3344251.74</v>
      </c>
      <c r="N49" s="132">
        <f t="shared" si="24"/>
        <v>0</v>
      </c>
      <c r="O49" s="132">
        <f t="shared" si="24"/>
        <v>158589.35</v>
      </c>
      <c r="P49" s="132">
        <f t="shared" si="24"/>
        <v>0</v>
      </c>
      <c r="Q49" s="132">
        <f t="shared" si="24"/>
        <v>279390.89</v>
      </c>
      <c r="R49" s="132">
        <f>SUM(R40:R48)</f>
        <v>0</v>
      </c>
      <c r="S49" s="132">
        <f t="shared" si="24"/>
        <v>0</v>
      </c>
      <c r="T49" s="132">
        <f t="shared" si="2"/>
        <v>3782231.9800000004</v>
      </c>
      <c r="U49" s="135">
        <f>SUM(U40:U48)</f>
        <v>0.99999999999999989</v>
      </c>
      <c r="V49" s="126" t="s">
        <v>234</v>
      </c>
      <c r="W49" s="136"/>
      <c r="X49" s="137">
        <f t="shared" si="4"/>
        <v>3494542.2399999998</v>
      </c>
      <c r="Y49" s="136"/>
      <c r="Z49" s="137">
        <f t="shared" si="5"/>
        <v>3782231.9800000004</v>
      </c>
      <c r="AA49" s="136"/>
      <c r="AB49" s="137">
        <f>I49-T49</f>
        <v>-287689.74000000069</v>
      </c>
      <c r="AC49" s="137"/>
      <c r="AD49" s="135">
        <f>I49/T49</f>
        <v>0.92393651644815278</v>
      </c>
      <c r="AE49" s="137"/>
      <c r="AF49" s="135">
        <f t="shared" si="8"/>
        <v>-7.6063483551847222E-2</v>
      </c>
    </row>
    <row r="50" spans="1:32" s="54" customFormat="1" ht="54.95" customHeight="1" x14ac:dyDescent="0.85">
      <c r="A50" s="114"/>
      <c r="B50" s="127"/>
      <c r="C50" s="127"/>
      <c r="D50" s="127"/>
      <c r="E50" s="127"/>
      <c r="F50" s="127"/>
      <c r="G50" s="127"/>
      <c r="H50" s="127"/>
      <c r="I50" s="127"/>
      <c r="J50" s="115"/>
      <c r="K50" s="115"/>
      <c r="L50" s="115"/>
      <c r="M50" s="127"/>
      <c r="N50" s="127"/>
      <c r="O50" s="127"/>
      <c r="P50" s="127"/>
      <c r="Q50" s="127"/>
      <c r="R50" s="127"/>
      <c r="S50" s="127"/>
      <c r="T50" s="127"/>
      <c r="U50" s="114"/>
      <c r="V50" s="115"/>
      <c r="W50" s="114"/>
      <c r="X50" s="130"/>
      <c r="Y50" s="114"/>
      <c r="Z50" s="130">
        <f t="shared" si="5"/>
        <v>0</v>
      </c>
      <c r="AA50" s="114"/>
      <c r="AB50" s="130"/>
      <c r="AC50" s="130"/>
      <c r="AD50" s="138"/>
      <c r="AE50" s="130"/>
      <c r="AF50" s="138"/>
    </row>
    <row r="51" spans="1:32" s="54" customFormat="1" ht="54.95" customHeight="1" x14ac:dyDescent="0.85">
      <c r="A51" s="125" t="s">
        <v>235</v>
      </c>
      <c r="B51" s="127"/>
      <c r="C51" s="127"/>
      <c r="D51" s="127"/>
      <c r="E51" s="127"/>
      <c r="F51" s="127"/>
      <c r="G51" s="127"/>
      <c r="H51" s="127"/>
      <c r="I51" s="127"/>
      <c r="J51" s="115"/>
      <c r="K51" s="115"/>
      <c r="L51" s="126" t="s">
        <v>235</v>
      </c>
      <c r="M51" s="127"/>
      <c r="N51" s="127"/>
      <c r="O51" s="127"/>
      <c r="P51" s="127"/>
      <c r="Q51" s="127"/>
      <c r="R51" s="127"/>
      <c r="S51" s="127"/>
      <c r="T51" s="127"/>
      <c r="U51" s="114"/>
      <c r="V51" s="126" t="s">
        <v>235</v>
      </c>
      <c r="W51" s="114"/>
      <c r="X51" s="130"/>
      <c r="Y51" s="114"/>
      <c r="Z51" s="130">
        <f t="shared" si="5"/>
        <v>0</v>
      </c>
      <c r="AA51" s="114"/>
      <c r="AB51" s="130"/>
      <c r="AC51" s="130"/>
      <c r="AD51" s="138"/>
      <c r="AE51" s="130"/>
      <c r="AF51" s="138"/>
    </row>
    <row r="52" spans="1:32" s="54" customFormat="1" ht="54.95" customHeight="1" x14ac:dyDescent="0.85">
      <c r="A52" s="114" t="s">
        <v>236</v>
      </c>
      <c r="B52" s="127">
        <f>[3]CNT!N206+[3]CNT!N207</f>
        <v>273600</v>
      </c>
      <c r="C52" s="127">
        <v>0</v>
      </c>
      <c r="D52" s="127">
        <f>DEP!J38</f>
        <v>300000</v>
      </c>
      <c r="E52" s="127">
        <v>0</v>
      </c>
      <c r="F52" s="127">
        <f>'BSC (Dome)'!J35</f>
        <v>8000</v>
      </c>
      <c r="G52" s="127">
        <v>0</v>
      </c>
      <c r="H52" s="127">
        <v>0</v>
      </c>
      <c r="I52" s="127">
        <f t="shared" ref="I52:I74" si="25">SUM(B52:H52)</f>
        <v>581600</v>
      </c>
      <c r="J52" s="128">
        <f t="shared" ref="J52:J73" si="26">I52/$I$74</f>
        <v>0.20088122823121088</v>
      </c>
      <c r="K52" s="128"/>
      <c r="L52" s="115" t="s">
        <v>236</v>
      </c>
      <c r="M52" s="127">
        <v>243600</v>
      </c>
      <c r="N52" s="127">
        <v>0</v>
      </c>
      <c r="O52" s="127">
        <v>200000</v>
      </c>
      <c r="P52" s="127">
        <v>0</v>
      </c>
      <c r="Q52" s="127">
        <v>8000</v>
      </c>
      <c r="R52" s="127">
        <v>0</v>
      </c>
      <c r="S52" s="127">
        <v>0</v>
      </c>
      <c r="T52" s="127">
        <f t="shared" si="2"/>
        <v>451600</v>
      </c>
      <c r="U52" s="129">
        <f t="shared" ref="U52:U69" si="27">T52/$T$74</f>
        <v>0.24238348671146759</v>
      </c>
      <c r="V52" s="115" t="s">
        <v>236</v>
      </c>
      <c r="W52" s="129"/>
      <c r="X52" s="130">
        <f t="shared" si="4"/>
        <v>581600</v>
      </c>
      <c r="Y52" s="129"/>
      <c r="Z52" s="130">
        <f t="shared" si="5"/>
        <v>451600</v>
      </c>
      <c r="AA52" s="129"/>
      <c r="AB52" s="130">
        <f>I52-T52</f>
        <v>130000</v>
      </c>
      <c r="AC52" s="130"/>
      <c r="AD52" s="129">
        <f>I52/T52</f>
        <v>1.2878653675819309</v>
      </c>
      <c r="AE52" s="130"/>
      <c r="AF52" s="129">
        <f t="shared" si="8"/>
        <v>0.28786536758193093</v>
      </c>
    </row>
    <row r="53" spans="1:32" s="54" customFormat="1" ht="54.95" customHeight="1" x14ac:dyDescent="0.85">
      <c r="A53" s="114" t="s">
        <v>237</v>
      </c>
      <c r="B53" s="127">
        <f>[3]CNT!N208</f>
        <v>2553.0200000000013</v>
      </c>
      <c r="C53" s="127">
        <v>0</v>
      </c>
      <c r="D53" s="127">
        <f>DEP!J39</f>
        <v>54470.559999999998</v>
      </c>
      <c r="E53" s="127">
        <v>0</v>
      </c>
      <c r="F53" s="127">
        <f>'BSC (Dome)'!J37</f>
        <v>4968.5</v>
      </c>
      <c r="G53" s="127">
        <v>0</v>
      </c>
      <c r="H53" s="127">
        <v>0</v>
      </c>
      <c r="I53" s="127">
        <f t="shared" si="25"/>
        <v>61992.08</v>
      </c>
      <c r="J53" s="128">
        <f t="shared" si="26"/>
        <v>2.141170077545991E-2</v>
      </c>
      <c r="K53" s="128"/>
      <c r="L53" s="115" t="s">
        <v>237</v>
      </c>
      <c r="M53" s="127">
        <v>58431.75</v>
      </c>
      <c r="N53" s="127">
        <v>0</v>
      </c>
      <c r="O53" s="127">
        <v>46250.879999999997</v>
      </c>
      <c r="P53" s="127">
        <v>0</v>
      </c>
      <c r="Q53" s="127">
        <v>35511.370000000003</v>
      </c>
      <c r="R53" s="127">
        <v>0</v>
      </c>
      <c r="S53" s="127">
        <v>0</v>
      </c>
      <c r="T53" s="127">
        <f t="shared" si="2"/>
        <v>140194</v>
      </c>
      <c r="U53" s="129">
        <f t="shared" si="27"/>
        <v>7.5245151762682649E-2</v>
      </c>
      <c r="V53" s="115" t="s">
        <v>237</v>
      </c>
      <c r="W53" s="129"/>
      <c r="X53" s="130">
        <f t="shared" si="4"/>
        <v>61992.08</v>
      </c>
      <c r="Y53" s="129"/>
      <c r="Z53" s="130">
        <f t="shared" si="5"/>
        <v>140194</v>
      </c>
      <c r="AA53" s="129"/>
      <c r="AB53" s="130">
        <f t="shared" ref="AB53:AB73" si="28">I53-T53</f>
        <v>-78201.919999999998</v>
      </c>
      <c r="AC53" s="130"/>
      <c r="AD53" s="129">
        <f t="shared" ref="AD53:AD71" si="29">I53/T53</f>
        <v>0.44218782544188767</v>
      </c>
      <c r="AE53" s="130"/>
      <c r="AF53" s="129">
        <f t="shared" si="8"/>
        <v>-0.55781217455811238</v>
      </c>
    </row>
    <row r="54" spans="1:32" s="54" customFormat="1" ht="54.95" customHeight="1" x14ac:dyDescent="0.85">
      <c r="A54" s="114" t="s">
        <v>238</v>
      </c>
      <c r="B54" s="127">
        <f>[3]CNT!N209</f>
        <v>8752.9499999999989</v>
      </c>
      <c r="C54" s="127">
        <v>0</v>
      </c>
      <c r="D54" s="127">
        <v>0</v>
      </c>
      <c r="E54" s="127">
        <v>0</v>
      </c>
      <c r="F54" s="127">
        <f>'BSC (Dome)'!J36</f>
        <v>59517.61</v>
      </c>
      <c r="G54" s="127">
        <v>0</v>
      </c>
      <c r="H54" s="127">
        <v>0</v>
      </c>
      <c r="I54" s="127">
        <f t="shared" si="25"/>
        <v>68270.559999999998</v>
      </c>
      <c r="J54" s="128">
        <f t="shared" si="26"/>
        <v>2.3580250936782284E-2</v>
      </c>
      <c r="K54" s="128"/>
      <c r="L54" s="115" t="s">
        <v>238</v>
      </c>
      <c r="M54" s="127">
        <v>7035.48</v>
      </c>
      <c r="N54" s="127">
        <v>0</v>
      </c>
      <c r="O54" s="127">
        <v>0</v>
      </c>
      <c r="P54" s="127">
        <v>0</v>
      </c>
      <c r="Q54" s="127">
        <v>69140.490000000005</v>
      </c>
      <c r="R54" s="127">
        <v>0</v>
      </c>
      <c r="S54" s="127">
        <v>0</v>
      </c>
      <c r="T54" s="127">
        <f t="shared" si="2"/>
        <v>76175.97</v>
      </c>
      <c r="U54" s="129">
        <f t="shared" si="27"/>
        <v>4.0885290549663757E-2</v>
      </c>
      <c r="V54" s="115" t="s">
        <v>238</v>
      </c>
      <c r="W54" s="129"/>
      <c r="X54" s="130">
        <f t="shared" si="4"/>
        <v>68270.559999999998</v>
      </c>
      <c r="Y54" s="129"/>
      <c r="Z54" s="130">
        <f t="shared" si="5"/>
        <v>76175.97</v>
      </c>
      <c r="AA54" s="129"/>
      <c r="AB54" s="130">
        <f t="shared" si="28"/>
        <v>-7905.4100000000035</v>
      </c>
      <c r="AC54" s="130"/>
      <c r="AD54" s="129">
        <f t="shared" si="29"/>
        <v>0.89622173501696134</v>
      </c>
      <c r="AE54" s="130"/>
      <c r="AF54" s="129">
        <f t="shared" si="8"/>
        <v>-0.10377826498303866</v>
      </c>
    </row>
    <row r="55" spans="1:32" s="54" customFormat="1" ht="54.95" customHeight="1" x14ac:dyDescent="0.85">
      <c r="A55" s="114" t="s">
        <v>341</v>
      </c>
      <c r="B55" s="127">
        <f>[3]CNT!N210</f>
        <v>579.03</v>
      </c>
      <c r="C55" s="127">
        <v>0</v>
      </c>
      <c r="D55" s="127">
        <v>0</v>
      </c>
      <c r="E55" s="127">
        <v>0</v>
      </c>
      <c r="F55" s="127">
        <f>'BSC (Dome)'!J38</f>
        <v>1532.02</v>
      </c>
      <c r="G55" s="127">
        <v>0</v>
      </c>
      <c r="H55" s="127">
        <v>0</v>
      </c>
      <c r="I55" s="127">
        <f t="shared" si="25"/>
        <v>2111.0500000000002</v>
      </c>
      <c r="J55" s="128">
        <f t="shared" si="26"/>
        <v>7.2914428620615159E-4</v>
      </c>
      <c r="K55" s="128"/>
      <c r="L55" s="115" t="s">
        <v>341</v>
      </c>
      <c r="M55" s="127">
        <v>1186.8699999999999</v>
      </c>
      <c r="N55" s="127">
        <v>0</v>
      </c>
      <c r="O55" s="127">
        <v>0</v>
      </c>
      <c r="P55" s="127">
        <v>0</v>
      </c>
      <c r="Q55" s="127">
        <v>1166.22</v>
      </c>
      <c r="R55" s="127">
        <v>0</v>
      </c>
      <c r="S55" s="127">
        <v>0</v>
      </c>
      <c r="T55" s="127">
        <f t="shared" si="2"/>
        <v>2353.09</v>
      </c>
      <c r="U55" s="129">
        <f t="shared" si="27"/>
        <v>1.2629542930599807E-3</v>
      </c>
      <c r="V55" s="115" t="s">
        <v>341</v>
      </c>
      <c r="W55" s="129"/>
      <c r="X55" s="130">
        <f t="shared" si="4"/>
        <v>2111.0500000000002</v>
      </c>
      <c r="Y55" s="129"/>
      <c r="Z55" s="130">
        <f t="shared" si="5"/>
        <v>2353.09</v>
      </c>
      <c r="AA55" s="129"/>
      <c r="AB55" s="130">
        <f t="shared" si="28"/>
        <v>-242.03999999999996</v>
      </c>
      <c r="AC55" s="130"/>
      <c r="AD55" s="129">
        <f t="shared" si="29"/>
        <v>0.89713950592625014</v>
      </c>
      <c r="AE55" s="130"/>
      <c r="AF55" s="129">
        <f t="shared" si="8"/>
        <v>-0.10286049407374986</v>
      </c>
    </row>
    <row r="56" spans="1:32" s="54" customFormat="1" ht="54.95" customHeight="1" x14ac:dyDescent="0.85">
      <c r="A56" s="114" t="s">
        <v>294</v>
      </c>
      <c r="B56" s="127">
        <v>0</v>
      </c>
      <c r="C56" s="127">
        <v>0</v>
      </c>
      <c r="D56" s="127">
        <f>DEP!J40</f>
        <v>1200</v>
      </c>
      <c r="E56" s="127">
        <v>0</v>
      </c>
      <c r="F56" s="127">
        <f>'BSC (Dome)'!J39</f>
        <v>5001.2300000000005</v>
      </c>
      <c r="G56" s="127">
        <v>0</v>
      </c>
      <c r="H56" s="127">
        <v>0</v>
      </c>
      <c r="I56" s="127">
        <f t="shared" si="25"/>
        <v>6201.2300000000005</v>
      </c>
      <c r="J56" s="128">
        <f t="shared" si="26"/>
        <v>2.1418684644845805E-3</v>
      </c>
      <c r="K56" s="128"/>
      <c r="L56" s="115" t="s">
        <v>294</v>
      </c>
      <c r="M56" s="127">
        <v>0</v>
      </c>
      <c r="N56" s="127">
        <v>0</v>
      </c>
      <c r="O56" s="127">
        <v>993.5</v>
      </c>
      <c r="P56" s="127">
        <v>0</v>
      </c>
      <c r="Q56" s="127">
        <v>3825.82</v>
      </c>
      <c r="R56" s="127">
        <v>0</v>
      </c>
      <c r="S56" s="127">
        <v>0</v>
      </c>
      <c r="T56" s="127">
        <f t="shared" si="2"/>
        <v>4819.32</v>
      </c>
      <c r="U56" s="129">
        <f t="shared" si="27"/>
        <v>2.5866332709882857E-3</v>
      </c>
      <c r="V56" s="115" t="s">
        <v>294</v>
      </c>
      <c r="W56" s="129"/>
      <c r="X56" s="130">
        <f t="shared" si="4"/>
        <v>6201.2300000000005</v>
      </c>
      <c r="Y56" s="129"/>
      <c r="Z56" s="130">
        <f t="shared" si="5"/>
        <v>4819.32</v>
      </c>
      <c r="AA56" s="129"/>
      <c r="AB56" s="130">
        <f t="shared" si="28"/>
        <v>1381.9100000000008</v>
      </c>
      <c r="AC56" s="130"/>
      <c r="AD56" s="129">
        <f t="shared" si="29"/>
        <v>1.2867437729804208</v>
      </c>
      <c r="AE56" s="130"/>
      <c r="AF56" s="129">
        <f t="shared" si="8"/>
        <v>0.28674377298042075</v>
      </c>
    </row>
    <row r="57" spans="1:32" s="54" customFormat="1" ht="54.95" customHeight="1" x14ac:dyDescent="0.85">
      <c r="A57" s="115" t="s">
        <v>458</v>
      </c>
      <c r="B57" s="127">
        <f>[3]CNT!N211</f>
        <v>19715</v>
      </c>
      <c r="C57" s="127">
        <v>0</v>
      </c>
      <c r="D57" s="127">
        <f>DEP!J41</f>
        <v>19724.2</v>
      </c>
      <c r="E57" s="127">
        <v>0</v>
      </c>
      <c r="F57" s="127">
        <v>0</v>
      </c>
      <c r="G57" s="127">
        <v>0</v>
      </c>
      <c r="H57" s="127">
        <v>0</v>
      </c>
      <c r="I57" s="127">
        <f t="shared" si="25"/>
        <v>39439.199999999997</v>
      </c>
      <c r="J57" s="128">
        <f t="shared" si="26"/>
        <v>1.3622068322655384E-2</v>
      </c>
      <c r="K57" s="128"/>
      <c r="L57" s="115" t="s">
        <v>458</v>
      </c>
      <c r="M57" s="127">
        <v>9589</v>
      </c>
      <c r="N57" s="127">
        <v>0</v>
      </c>
      <c r="O57" s="127">
        <v>5293</v>
      </c>
      <c r="P57" s="127">
        <v>0</v>
      </c>
      <c r="Q57" s="127">
        <v>0</v>
      </c>
      <c r="R57" s="127">
        <v>0</v>
      </c>
      <c r="S57" s="127">
        <v>0</v>
      </c>
      <c r="T57" s="127">
        <f t="shared" si="2"/>
        <v>14882</v>
      </c>
      <c r="U57" s="129">
        <f t="shared" si="27"/>
        <v>7.9874912516387526E-3</v>
      </c>
      <c r="V57" s="115" t="s">
        <v>458</v>
      </c>
      <c r="W57" s="129"/>
      <c r="X57" s="130">
        <f t="shared" si="4"/>
        <v>39439.199999999997</v>
      </c>
      <c r="Y57" s="129"/>
      <c r="Z57" s="130">
        <f t="shared" si="5"/>
        <v>14882</v>
      </c>
      <c r="AA57" s="129"/>
      <c r="AB57" s="130">
        <f t="shared" si="28"/>
        <v>24557.199999999997</v>
      </c>
      <c r="AC57" s="130"/>
      <c r="AD57" s="129">
        <f t="shared" si="29"/>
        <v>2.6501276710119606</v>
      </c>
      <c r="AE57" s="130"/>
      <c r="AF57" s="129">
        <f t="shared" si="8"/>
        <v>1.6501276710119606</v>
      </c>
    </row>
    <row r="58" spans="1:32" s="54" customFormat="1" ht="54.95" customHeight="1" x14ac:dyDescent="0.85">
      <c r="A58" s="114" t="s">
        <v>379</v>
      </c>
      <c r="B58" s="127">
        <f>[3]CNT!N212+[3]CNT!N220</f>
        <v>92467.689999999988</v>
      </c>
      <c r="C58" s="127">
        <f>BPM!J42</f>
        <v>2719.73</v>
      </c>
      <c r="D58" s="127">
        <f>DEP!J42</f>
        <v>25593.119999999999</v>
      </c>
      <c r="E58" s="127">
        <v>0</v>
      </c>
      <c r="F58" s="127">
        <f>'BSC (Dome)'!J41</f>
        <v>2914.58</v>
      </c>
      <c r="G58" s="127">
        <v>0</v>
      </c>
      <c r="H58" s="127">
        <v>0</v>
      </c>
      <c r="I58" s="127">
        <f t="shared" si="25"/>
        <v>123695.11999999998</v>
      </c>
      <c r="J58" s="128">
        <f t="shared" si="26"/>
        <v>4.2723568830479737E-2</v>
      </c>
      <c r="K58" s="128"/>
      <c r="L58" s="115" t="s">
        <v>239</v>
      </c>
      <c r="M58" s="127">
        <v>107832.01</v>
      </c>
      <c r="N58" s="127">
        <v>0</v>
      </c>
      <c r="O58" s="127">
        <v>26916.12</v>
      </c>
      <c r="P58" s="127">
        <v>0</v>
      </c>
      <c r="Q58" s="127">
        <f>712.05+862.3</f>
        <v>1574.35</v>
      </c>
      <c r="R58" s="127">
        <v>0</v>
      </c>
      <c r="S58" s="127">
        <v>0</v>
      </c>
      <c r="T58" s="127">
        <f t="shared" si="2"/>
        <v>136322.48000000001</v>
      </c>
      <c r="U58" s="129">
        <f t="shared" si="27"/>
        <v>7.3167223249677379E-2</v>
      </c>
      <c r="V58" s="115" t="s">
        <v>239</v>
      </c>
      <c r="W58" s="129"/>
      <c r="X58" s="130">
        <f t="shared" si="4"/>
        <v>123695.11999999998</v>
      </c>
      <c r="Y58" s="129"/>
      <c r="Z58" s="130">
        <f t="shared" si="5"/>
        <v>136322.48000000001</v>
      </c>
      <c r="AA58" s="129"/>
      <c r="AB58" s="130">
        <f t="shared" si="28"/>
        <v>-12627.36000000003</v>
      </c>
      <c r="AC58" s="130"/>
      <c r="AD58" s="129">
        <f t="shared" si="29"/>
        <v>0.90737140345451439</v>
      </c>
      <c r="AE58" s="130"/>
      <c r="AF58" s="129">
        <f t="shared" si="8"/>
        <v>-9.2628596545485609E-2</v>
      </c>
    </row>
    <row r="59" spans="1:32" s="54" customFormat="1" ht="54.95" customHeight="1" x14ac:dyDescent="0.85">
      <c r="A59" s="114" t="s">
        <v>380</v>
      </c>
      <c r="B59" s="127"/>
      <c r="C59" s="127">
        <v>0</v>
      </c>
      <c r="D59" s="127">
        <v>0</v>
      </c>
      <c r="E59" s="127">
        <v>0</v>
      </c>
      <c r="F59" s="127">
        <f>'BSC (Dome)'!J42+'BSC (Dome)'!J48</f>
        <v>9997.82</v>
      </c>
      <c r="G59" s="127">
        <v>0</v>
      </c>
      <c r="H59" s="127">
        <v>0</v>
      </c>
      <c r="I59" s="127">
        <f t="shared" si="25"/>
        <v>9997.82</v>
      </c>
      <c r="J59" s="128">
        <f t="shared" si="26"/>
        <v>3.4531883790140383E-3</v>
      </c>
      <c r="K59" s="128"/>
      <c r="L59" s="115" t="s">
        <v>380</v>
      </c>
      <c r="M59" s="127">
        <v>0</v>
      </c>
      <c r="N59" s="127">
        <v>8727.33</v>
      </c>
      <c r="O59" s="127">
        <v>0</v>
      </c>
      <c r="P59" s="127">
        <v>0</v>
      </c>
      <c r="Q59" s="127">
        <f>5821.66+3962.16</f>
        <v>9783.82</v>
      </c>
      <c r="R59" s="127">
        <v>0</v>
      </c>
      <c r="S59" s="127">
        <v>0</v>
      </c>
      <c r="T59" s="127">
        <f t="shared" si="2"/>
        <v>18511.150000000001</v>
      </c>
      <c r="U59" s="129">
        <f t="shared" si="27"/>
        <v>9.9353345439304325E-3</v>
      </c>
      <c r="V59" s="115" t="s">
        <v>380</v>
      </c>
      <c r="W59" s="129"/>
      <c r="X59" s="130">
        <f t="shared" si="4"/>
        <v>9997.82</v>
      </c>
      <c r="Y59" s="129"/>
      <c r="Z59" s="130">
        <f t="shared" si="5"/>
        <v>18511.150000000001</v>
      </c>
      <c r="AA59" s="129"/>
      <c r="AB59" s="130">
        <f>I59-T59</f>
        <v>-8513.3300000000017</v>
      </c>
      <c r="AC59" s="130"/>
      <c r="AD59" s="129">
        <f t="shared" si="29"/>
        <v>0.54009718466978007</v>
      </c>
      <c r="AE59" s="130"/>
      <c r="AF59" s="129">
        <f t="shared" si="8"/>
        <v>-0.45990281533021993</v>
      </c>
    </row>
    <row r="60" spans="1:32" s="54" customFormat="1" ht="54.95" customHeight="1" x14ac:dyDescent="0.85">
      <c r="A60" s="114" t="s">
        <v>241</v>
      </c>
      <c r="B60" s="127">
        <f>[3]CNT!N213</f>
        <v>70418.500000000015</v>
      </c>
      <c r="C60" s="127">
        <v>0</v>
      </c>
      <c r="D60" s="127">
        <f>DEP!J43</f>
        <v>42856.180000000008</v>
      </c>
      <c r="E60" s="127">
        <v>0</v>
      </c>
      <c r="F60" s="127">
        <f>'BSC (Dome)'!J44</f>
        <v>486.66999999999996</v>
      </c>
      <c r="G60" s="127">
        <v>0</v>
      </c>
      <c r="H60" s="127">
        <v>0</v>
      </c>
      <c r="I60" s="127">
        <f t="shared" si="25"/>
        <v>113761.35000000002</v>
      </c>
      <c r="J60" s="128">
        <f t="shared" si="26"/>
        <v>3.9292502945737044E-2</v>
      </c>
      <c r="K60" s="128"/>
      <c r="L60" s="115" t="s">
        <v>241</v>
      </c>
      <c r="M60" s="127">
        <v>72909.86</v>
      </c>
      <c r="N60" s="127">
        <v>0</v>
      </c>
      <c r="O60" s="127">
        <v>34536</v>
      </c>
      <c r="P60" s="127">
        <v>0</v>
      </c>
      <c r="Q60" s="127">
        <v>756.98</v>
      </c>
      <c r="R60" s="127">
        <v>0</v>
      </c>
      <c r="S60" s="127">
        <v>0</v>
      </c>
      <c r="T60" s="127">
        <f t="shared" si="2"/>
        <v>108202.84</v>
      </c>
      <c r="U60" s="129">
        <f t="shared" si="27"/>
        <v>5.8074804320821634E-2</v>
      </c>
      <c r="V60" s="115" t="s">
        <v>241</v>
      </c>
      <c r="W60" s="129"/>
      <c r="X60" s="130">
        <f t="shared" si="4"/>
        <v>113761.35000000002</v>
      </c>
      <c r="Y60" s="129"/>
      <c r="Z60" s="130">
        <f t="shared" si="5"/>
        <v>108202.84</v>
      </c>
      <c r="AA60" s="129"/>
      <c r="AB60" s="130">
        <f t="shared" si="28"/>
        <v>5558.5100000000239</v>
      </c>
      <c r="AC60" s="130"/>
      <c r="AD60" s="129">
        <f t="shared" si="29"/>
        <v>1.0513712024564237</v>
      </c>
      <c r="AE60" s="130"/>
      <c r="AF60" s="129">
        <f t="shared" si="8"/>
        <v>5.1371202456423681E-2</v>
      </c>
    </row>
    <row r="61" spans="1:32" s="54" customFormat="1" ht="54.95" customHeight="1" x14ac:dyDescent="0.85">
      <c r="A61" s="114" t="s">
        <v>242</v>
      </c>
      <c r="B61" s="127">
        <f>[3]CNT!N214</f>
        <v>29000</v>
      </c>
      <c r="C61" s="127">
        <v>0</v>
      </c>
      <c r="D61" s="127">
        <f>DEP!J44</f>
        <v>11202.26</v>
      </c>
      <c r="E61" s="127">
        <v>0</v>
      </c>
      <c r="F61" s="127">
        <v>0</v>
      </c>
      <c r="G61" s="127">
        <v>0</v>
      </c>
      <c r="H61" s="127">
        <v>0</v>
      </c>
      <c r="I61" s="127">
        <f t="shared" si="25"/>
        <v>40202.26</v>
      </c>
      <c r="J61" s="128">
        <f t="shared" si="26"/>
        <v>1.3885624770410042E-2</v>
      </c>
      <c r="K61" s="128"/>
      <c r="L61" s="115" t="s">
        <v>242</v>
      </c>
      <c r="M61" s="127">
        <v>23657.91</v>
      </c>
      <c r="N61" s="127">
        <v>0</v>
      </c>
      <c r="O61" s="127">
        <v>14007.54</v>
      </c>
      <c r="P61" s="127">
        <v>0</v>
      </c>
      <c r="Q61" s="127">
        <v>0</v>
      </c>
      <c r="R61" s="127">
        <v>0</v>
      </c>
      <c r="S61" s="127">
        <v>0</v>
      </c>
      <c r="T61" s="127">
        <f t="shared" si="2"/>
        <v>37665.449999999997</v>
      </c>
      <c r="U61" s="129">
        <f t="shared" si="27"/>
        <v>2.0215861602206477E-2</v>
      </c>
      <c r="V61" s="115" t="s">
        <v>242</v>
      </c>
      <c r="W61" s="129"/>
      <c r="X61" s="130">
        <f t="shared" si="4"/>
        <v>40202.26</v>
      </c>
      <c r="Y61" s="129"/>
      <c r="Z61" s="130">
        <f t="shared" si="5"/>
        <v>37665.449999999997</v>
      </c>
      <c r="AA61" s="129"/>
      <c r="AB61" s="130">
        <f t="shared" si="28"/>
        <v>2536.8100000000049</v>
      </c>
      <c r="AC61" s="130"/>
      <c r="AD61" s="129">
        <f t="shared" si="29"/>
        <v>1.067351113553668</v>
      </c>
      <c r="AE61" s="130"/>
      <c r="AF61" s="129">
        <f t="shared" si="8"/>
        <v>6.7351113553667963E-2</v>
      </c>
    </row>
    <row r="62" spans="1:32" s="54" customFormat="1" ht="54.95" customHeight="1" x14ac:dyDescent="0.85">
      <c r="A62" s="114" t="s">
        <v>240</v>
      </c>
      <c r="B62" s="127">
        <f>[3]CNT!N215</f>
        <v>40554.869999999995</v>
      </c>
      <c r="C62" s="127">
        <v>0</v>
      </c>
      <c r="D62" s="127">
        <f>DEP!J45</f>
        <v>131014.56999999999</v>
      </c>
      <c r="E62" s="127">
        <v>0</v>
      </c>
      <c r="F62" s="127">
        <f>'BSC (Dome)'!J46</f>
        <v>19394</v>
      </c>
      <c r="G62" s="127">
        <v>0</v>
      </c>
      <c r="H62" s="127">
        <v>0</v>
      </c>
      <c r="I62" s="127">
        <f t="shared" si="25"/>
        <v>190963.44</v>
      </c>
      <c r="J62" s="128">
        <f t="shared" si="26"/>
        <v>6.595765195057969E-2</v>
      </c>
      <c r="K62" s="128"/>
      <c r="L62" s="115" t="s">
        <v>240</v>
      </c>
      <c r="M62" s="127">
        <v>36402.76</v>
      </c>
      <c r="N62" s="127">
        <v>0</v>
      </c>
      <c r="O62" s="127">
        <v>0</v>
      </c>
      <c r="P62" s="127">
        <v>0</v>
      </c>
      <c r="Q62" s="127">
        <v>23420</v>
      </c>
      <c r="R62" s="127">
        <v>0</v>
      </c>
      <c r="S62" s="127">
        <v>0</v>
      </c>
      <c r="T62" s="127">
        <f t="shared" si="2"/>
        <v>59822.76</v>
      </c>
      <c r="U62" s="129">
        <f t="shared" si="27"/>
        <v>3.2108169073302294E-2</v>
      </c>
      <c r="V62" s="115" t="s">
        <v>240</v>
      </c>
      <c r="W62" s="129"/>
      <c r="X62" s="130">
        <f t="shared" si="4"/>
        <v>190963.44</v>
      </c>
      <c r="Y62" s="129"/>
      <c r="Z62" s="130">
        <f t="shared" si="5"/>
        <v>59822.76</v>
      </c>
      <c r="AA62" s="129"/>
      <c r="AB62" s="130">
        <f t="shared" si="28"/>
        <v>131140.68</v>
      </c>
      <c r="AC62" s="130"/>
      <c r="AD62" s="129">
        <f t="shared" si="29"/>
        <v>3.1921536217987936</v>
      </c>
      <c r="AE62" s="130"/>
      <c r="AF62" s="129">
        <f t="shared" si="8"/>
        <v>2.1921536217987936</v>
      </c>
    </row>
    <row r="63" spans="1:32" s="54" customFormat="1" ht="54.95" customHeight="1" x14ac:dyDescent="0.85">
      <c r="A63" s="114" t="s">
        <v>364</v>
      </c>
      <c r="B63" s="127">
        <v>0</v>
      </c>
      <c r="C63" s="127">
        <v>0</v>
      </c>
      <c r="D63" s="127">
        <v>0</v>
      </c>
      <c r="E63" s="127">
        <v>0</v>
      </c>
      <c r="F63" s="127">
        <f>'BSC (Dome)'!J43</f>
        <v>13024.77</v>
      </c>
      <c r="G63" s="127">
        <v>0</v>
      </c>
      <c r="H63" s="127">
        <v>0</v>
      </c>
      <c r="I63" s="127">
        <f t="shared" si="25"/>
        <v>13024.77</v>
      </c>
      <c r="J63" s="128">
        <f t="shared" si="26"/>
        <v>4.4986791523882888E-3</v>
      </c>
      <c r="K63" s="128"/>
      <c r="L63" s="115" t="s">
        <v>364</v>
      </c>
      <c r="M63" s="127">
        <v>0</v>
      </c>
      <c r="N63" s="127">
        <v>2936.98</v>
      </c>
      <c r="O63" s="127">
        <v>0</v>
      </c>
      <c r="P63" s="127">
        <v>0</v>
      </c>
      <c r="Q63" s="127">
        <f>827.2+7994</f>
        <v>8821.2000000000007</v>
      </c>
      <c r="R63" s="127">
        <v>0</v>
      </c>
      <c r="S63" s="127">
        <v>0</v>
      </c>
      <c r="T63" s="127">
        <f t="shared" si="2"/>
        <v>11758.18</v>
      </c>
      <c r="U63" s="129">
        <f t="shared" si="27"/>
        <v>6.3108694990722846E-3</v>
      </c>
      <c r="V63" s="115" t="s">
        <v>364</v>
      </c>
      <c r="W63" s="129"/>
      <c r="X63" s="130">
        <f t="shared" si="4"/>
        <v>13024.77</v>
      </c>
      <c r="Y63" s="129"/>
      <c r="Z63" s="130">
        <f t="shared" si="5"/>
        <v>11758.18</v>
      </c>
      <c r="AA63" s="129"/>
      <c r="AB63" s="130">
        <f t="shared" si="28"/>
        <v>1266.5900000000001</v>
      </c>
      <c r="AC63" s="130"/>
      <c r="AD63" s="129">
        <f t="shared" si="29"/>
        <v>1.1077199022297668</v>
      </c>
      <c r="AE63" s="130"/>
      <c r="AF63" s="129">
        <f t="shared" si="8"/>
        <v>0.1077199022297668</v>
      </c>
    </row>
    <row r="64" spans="1:32" s="54" customFormat="1" ht="54.95" customHeight="1" x14ac:dyDescent="0.85">
      <c r="A64" s="114" t="s">
        <v>243</v>
      </c>
      <c r="B64" s="127">
        <f>[3]CNT!N216+[3]CNT!N254</f>
        <v>14393.95</v>
      </c>
      <c r="C64" s="127">
        <v>0</v>
      </c>
      <c r="D64" s="127">
        <f>DEP!J46</f>
        <v>152.47</v>
      </c>
      <c r="E64" s="127">
        <v>0</v>
      </c>
      <c r="F64" s="127">
        <f>'BSC (Dome)'!J49</f>
        <v>1417.5100000000002</v>
      </c>
      <c r="G64" s="127">
        <v>0</v>
      </c>
      <c r="H64" s="127">
        <v>0</v>
      </c>
      <c r="I64" s="127">
        <f t="shared" si="25"/>
        <v>15963.93</v>
      </c>
      <c r="J64" s="128">
        <f t="shared" si="26"/>
        <v>5.5138477747542543E-3</v>
      </c>
      <c r="K64" s="128"/>
      <c r="L64" s="115" t="s">
        <v>243</v>
      </c>
      <c r="M64" s="127">
        <v>19627.349999999999</v>
      </c>
      <c r="N64" s="127">
        <v>0</v>
      </c>
      <c r="O64" s="127">
        <v>3412.08</v>
      </c>
      <c r="P64" s="127">
        <v>0</v>
      </c>
      <c r="Q64" s="127">
        <v>794.62</v>
      </c>
      <c r="R64" s="127">
        <v>0</v>
      </c>
      <c r="S64" s="127">
        <v>0</v>
      </c>
      <c r="T64" s="127">
        <f t="shared" si="2"/>
        <v>23834.05</v>
      </c>
      <c r="U64" s="129">
        <f t="shared" si="27"/>
        <v>1.2792250091796841E-2</v>
      </c>
      <c r="V64" s="115" t="s">
        <v>243</v>
      </c>
      <c r="W64" s="129"/>
      <c r="X64" s="130">
        <f t="shared" si="4"/>
        <v>15963.93</v>
      </c>
      <c r="Y64" s="129"/>
      <c r="Z64" s="130">
        <f t="shared" si="5"/>
        <v>23834.05</v>
      </c>
      <c r="AA64" s="129"/>
      <c r="AB64" s="130">
        <f t="shared" si="28"/>
        <v>-7870.119999999999</v>
      </c>
      <c r="AC64" s="130"/>
      <c r="AD64" s="129">
        <f t="shared" si="29"/>
        <v>0.66979510406330445</v>
      </c>
      <c r="AE64" s="130"/>
      <c r="AF64" s="129">
        <f t="shared" si="8"/>
        <v>-0.33020489593669555</v>
      </c>
    </row>
    <row r="65" spans="1:32" s="54" customFormat="1" ht="54.95" customHeight="1" x14ac:dyDescent="0.85">
      <c r="A65" s="114" t="s">
        <v>244</v>
      </c>
      <c r="B65" s="127">
        <f>[3]CNT!N217</f>
        <v>6188.73</v>
      </c>
      <c r="C65" s="127">
        <v>0</v>
      </c>
      <c r="D65" s="127">
        <f>DEP!J48</f>
        <v>3069.8599999999997</v>
      </c>
      <c r="E65" s="127">
        <v>0</v>
      </c>
      <c r="F65" s="127">
        <v>0</v>
      </c>
      <c r="G65" s="127">
        <v>0</v>
      </c>
      <c r="H65" s="127">
        <v>0</v>
      </c>
      <c r="I65" s="127">
        <f t="shared" si="25"/>
        <v>9258.59</v>
      </c>
      <c r="J65" s="128">
        <f t="shared" si="26"/>
        <v>3.1978626734683749E-3</v>
      </c>
      <c r="K65" s="128"/>
      <c r="L65" s="115" t="s">
        <v>244</v>
      </c>
      <c r="M65" s="127">
        <v>2339.11</v>
      </c>
      <c r="N65" s="127">
        <v>604.29999999999995</v>
      </c>
      <c r="O65" s="127">
        <v>2582.8000000000002</v>
      </c>
      <c r="P65" s="127">
        <v>0</v>
      </c>
      <c r="Q65" s="127">
        <v>0</v>
      </c>
      <c r="R65" s="127">
        <v>0</v>
      </c>
      <c r="S65" s="127">
        <v>0</v>
      </c>
      <c r="T65" s="127">
        <f t="shared" si="2"/>
        <v>5526.21</v>
      </c>
      <c r="U65" s="129">
        <f t="shared" si="27"/>
        <v>2.9660364218329922E-3</v>
      </c>
      <c r="V65" s="115" t="s">
        <v>244</v>
      </c>
      <c r="W65" s="129"/>
      <c r="X65" s="130">
        <f t="shared" si="4"/>
        <v>9258.59</v>
      </c>
      <c r="Y65" s="129"/>
      <c r="Z65" s="130">
        <f t="shared" si="5"/>
        <v>5526.21</v>
      </c>
      <c r="AA65" s="129"/>
      <c r="AB65" s="130">
        <f t="shared" si="28"/>
        <v>3732.38</v>
      </c>
      <c r="AC65" s="130"/>
      <c r="AD65" s="129">
        <f t="shared" si="29"/>
        <v>1.6753959766277431</v>
      </c>
      <c r="AE65" s="130"/>
      <c r="AF65" s="129">
        <f t="shared" si="8"/>
        <v>0.67539597662774309</v>
      </c>
    </row>
    <row r="66" spans="1:32" s="54" customFormat="1" ht="54.95" customHeight="1" x14ac:dyDescent="0.85">
      <c r="A66" s="114" t="s">
        <v>245</v>
      </c>
      <c r="B66" s="127">
        <f>[3]CNT!N218</f>
        <v>2666.64</v>
      </c>
      <c r="C66" s="127">
        <v>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127">
        <f t="shared" si="25"/>
        <v>2666.64</v>
      </c>
      <c r="J66" s="128">
        <f t="shared" si="26"/>
        <v>9.2104181301663713E-4</v>
      </c>
      <c r="K66" s="128"/>
      <c r="L66" s="115" t="s">
        <v>245</v>
      </c>
      <c r="M66" s="127">
        <v>3200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f t="shared" si="2"/>
        <v>3200</v>
      </c>
      <c r="U66" s="129">
        <f t="shared" si="27"/>
        <v>1.7175092061042876E-3</v>
      </c>
      <c r="V66" s="115" t="s">
        <v>245</v>
      </c>
      <c r="W66" s="129"/>
      <c r="X66" s="130">
        <f t="shared" si="4"/>
        <v>2666.64</v>
      </c>
      <c r="Y66" s="129"/>
      <c r="Z66" s="130">
        <f t="shared" si="5"/>
        <v>3200</v>
      </c>
      <c r="AA66" s="129"/>
      <c r="AB66" s="130">
        <f t="shared" si="28"/>
        <v>-533.36000000000013</v>
      </c>
      <c r="AC66" s="130"/>
      <c r="AD66" s="129">
        <f t="shared" si="29"/>
        <v>0.83332499999999998</v>
      </c>
      <c r="AE66" s="130"/>
      <c r="AF66" s="129">
        <f t="shared" si="8"/>
        <v>-0.16667500000000002</v>
      </c>
    </row>
    <row r="67" spans="1:32" s="54" customFormat="1" ht="54.95" customHeight="1" x14ac:dyDescent="0.85">
      <c r="A67" s="114" t="s">
        <v>246</v>
      </c>
      <c r="B67" s="127">
        <f>[3]CNT!N219+[3]CNT!N222</f>
        <v>1006713.4</v>
      </c>
      <c r="C67" s="127">
        <f>BPM!J43</f>
        <v>3070.45</v>
      </c>
      <c r="D67" s="127">
        <f>DEP!J49</f>
        <v>83611</v>
      </c>
      <c r="E67" s="127">
        <v>0</v>
      </c>
      <c r="F67" s="127">
        <f>'BSC (Dome)'!J52</f>
        <v>75104.61</v>
      </c>
      <c r="G67" s="127">
        <f>'Oliari Co.'!J11</f>
        <v>74010.160000000018</v>
      </c>
      <c r="H67" s="127">
        <f>'722 Bedford St'!J11</f>
        <v>117567.64</v>
      </c>
      <c r="I67" s="127">
        <f t="shared" si="25"/>
        <v>1360077.26</v>
      </c>
      <c r="J67" s="128">
        <f t="shared" si="26"/>
        <v>0.46976270714948409</v>
      </c>
      <c r="K67" s="128"/>
      <c r="L67" s="115" t="s">
        <v>246</v>
      </c>
      <c r="M67" s="127">
        <v>520000</v>
      </c>
      <c r="N67" s="127">
        <v>3000</v>
      </c>
      <c r="O67" s="127">
        <v>75000</v>
      </c>
      <c r="P67" s="127">
        <v>0</v>
      </c>
      <c r="Q67" s="127">
        <v>72000</v>
      </c>
      <c r="R67" s="127">
        <v>35163.4</v>
      </c>
      <c r="S67" s="127">
        <v>0</v>
      </c>
      <c r="T67" s="127">
        <f t="shared" si="2"/>
        <v>705163.4</v>
      </c>
      <c r="U67" s="129">
        <f t="shared" si="27"/>
        <v>0.37847644728368757</v>
      </c>
      <c r="V67" s="115" t="s">
        <v>246</v>
      </c>
      <c r="W67" s="129"/>
      <c r="X67" s="130">
        <f t="shared" si="4"/>
        <v>1360077.26</v>
      </c>
      <c r="Y67" s="129"/>
      <c r="Z67" s="130">
        <f t="shared" si="5"/>
        <v>705163.4</v>
      </c>
      <c r="AA67" s="129"/>
      <c r="AB67" s="130">
        <f t="shared" si="28"/>
        <v>654913.86</v>
      </c>
      <c r="AC67" s="130"/>
      <c r="AD67" s="129">
        <f t="shared" si="29"/>
        <v>1.9287405727523577</v>
      </c>
      <c r="AE67" s="130"/>
      <c r="AF67" s="129">
        <f t="shared" si="8"/>
        <v>0.92874057275235766</v>
      </c>
    </row>
    <row r="68" spans="1:32" s="54" customFormat="1" ht="54.95" customHeight="1" x14ac:dyDescent="0.85">
      <c r="A68" s="114" t="s">
        <v>256</v>
      </c>
      <c r="B68" s="127">
        <f>[3]CNT!N237</f>
        <v>1268.68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7">
        <f t="shared" si="25"/>
        <v>1268.68</v>
      </c>
      <c r="J68" s="128">
        <f t="shared" si="26"/>
        <v>4.3819462969802721E-4</v>
      </c>
      <c r="K68" s="128"/>
      <c r="L68" s="115" t="s">
        <v>256</v>
      </c>
      <c r="M68" s="127">
        <v>2739.31</v>
      </c>
      <c r="N68" s="127">
        <v>0</v>
      </c>
      <c r="O68" s="127">
        <v>0</v>
      </c>
      <c r="P68" s="127">
        <v>0</v>
      </c>
      <c r="Q68" s="127">
        <v>327.56</v>
      </c>
      <c r="R68" s="127">
        <v>-1113.3599999999999</v>
      </c>
      <c r="S68" s="127">
        <v>0</v>
      </c>
      <c r="T68" s="127">
        <f t="shared" si="2"/>
        <v>1953.51</v>
      </c>
      <c r="U68" s="129">
        <f t="shared" si="27"/>
        <v>1.0484910653802458E-3</v>
      </c>
      <c r="V68" s="115" t="s">
        <v>256</v>
      </c>
      <c r="W68" s="129"/>
      <c r="X68" s="130">
        <f t="shared" si="4"/>
        <v>1268.68</v>
      </c>
      <c r="Y68" s="129"/>
      <c r="Z68" s="130">
        <f t="shared" si="5"/>
        <v>1953.51</v>
      </c>
      <c r="AA68" s="129"/>
      <c r="AB68" s="130">
        <f t="shared" si="28"/>
        <v>-684.82999999999993</v>
      </c>
      <c r="AC68" s="130"/>
      <c r="AD68" s="129">
        <f t="shared" si="29"/>
        <v>0.64943614314746279</v>
      </c>
      <c r="AE68" s="130"/>
      <c r="AF68" s="129">
        <f t="shared" si="8"/>
        <v>-0.35056385685253721</v>
      </c>
    </row>
    <row r="69" spans="1:32" s="54" customFormat="1" ht="54.95" customHeight="1" x14ac:dyDescent="0.85">
      <c r="A69" s="114" t="s">
        <v>361</v>
      </c>
      <c r="B69" s="127">
        <f>[3]CNT!N251</f>
        <v>570</v>
      </c>
      <c r="C69" s="127">
        <f>BPM!J52</f>
        <v>288.94000000000005</v>
      </c>
      <c r="D69" s="127">
        <f>DEP!J64</f>
        <v>449</v>
      </c>
      <c r="E69" s="127">
        <f>Lending!J10</f>
        <v>109</v>
      </c>
      <c r="F69" s="127">
        <f>'BSC (Dome)'!J47</f>
        <v>865</v>
      </c>
      <c r="G69" s="127">
        <f>'Oliari Co.'!J10</f>
        <v>520</v>
      </c>
      <c r="H69" s="127">
        <f>'722 Bedford St'!J10</f>
        <v>520</v>
      </c>
      <c r="I69" s="127">
        <f t="shared" si="25"/>
        <v>3321.94</v>
      </c>
      <c r="J69" s="128">
        <f t="shared" si="26"/>
        <v>1.1473785889105721E-3</v>
      </c>
      <c r="K69" s="128"/>
      <c r="L69" s="115" t="s">
        <v>361</v>
      </c>
      <c r="M69" s="127">
        <v>0</v>
      </c>
      <c r="N69" s="127">
        <v>0</v>
      </c>
      <c r="O69" s="127">
        <v>0</v>
      </c>
      <c r="P69" s="127">
        <v>0</v>
      </c>
      <c r="Q69" s="127">
        <v>565</v>
      </c>
      <c r="R69" s="127">
        <v>0</v>
      </c>
      <c r="S69" s="127">
        <v>520</v>
      </c>
      <c r="T69" s="127">
        <f t="shared" si="2"/>
        <v>1085</v>
      </c>
      <c r="U69" s="129">
        <f t="shared" si="27"/>
        <v>5.8234296519473502E-4</v>
      </c>
      <c r="V69" s="115" t="s">
        <v>361</v>
      </c>
      <c r="W69" s="129"/>
      <c r="X69" s="130">
        <f t="shared" si="4"/>
        <v>3321.94</v>
      </c>
      <c r="Y69" s="129"/>
      <c r="Z69" s="130">
        <f t="shared" si="5"/>
        <v>1085</v>
      </c>
      <c r="AA69" s="129"/>
      <c r="AB69" s="130">
        <f t="shared" si="28"/>
        <v>2236.94</v>
      </c>
      <c r="AC69" s="130"/>
      <c r="AD69" s="129">
        <f t="shared" si="29"/>
        <v>3.0616958525345623</v>
      </c>
      <c r="AE69" s="130"/>
      <c r="AF69" s="129">
        <f t="shared" si="8"/>
        <v>2.0616958525345623</v>
      </c>
    </row>
    <row r="70" spans="1:32" s="54" customFormat="1" ht="54.95" customHeight="1" x14ac:dyDescent="0.85">
      <c r="A70" s="114" t="s">
        <v>249</v>
      </c>
      <c r="B70" s="127">
        <f>[3]CNT!N236</f>
        <v>13978.66</v>
      </c>
      <c r="C70" s="127">
        <v>0</v>
      </c>
      <c r="D70" s="127">
        <f>DEP!J50</f>
        <v>13242.309999999998</v>
      </c>
      <c r="E70" s="127">
        <v>0</v>
      </c>
      <c r="F70" s="127">
        <v>0</v>
      </c>
      <c r="G70" s="127">
        <v>0</v>
      </c>
      <c r="H70" s="127">
        <v>0</v>
      </c>
      <c r="I70" s="127">
        <f t="shared" si="25"/>
        <v>27220.969999999998</v>
      </c>
      <c r="J70" s="128">
        <f t="shared" si="26"/>
        <v>9.4019633549603573E-3</v>
      </c>
      <c r="K70" s="128"/>
      <c r="L70" s="115" t="s">
        <v>249</v>
      </c>
      <c r="M70" s="127">
        <v>4526.08</v>
      </c>
      <c r="N70" s="127">
        <v>0</v>
      </c>
      <c r="O70" s="127">
        <v>4840.32</v>
      </c>
      <c r="P70" s="127">
        <v>0</v>
      </c>
      <c r="Q70" s="127">
        <v>0</v>
      </c>
      <c r="R70" s="127">
        <v>0</v>
      </c>
      <c r="S70" s="127">
        <v>0</v>
      </c>
      <c r="T70" s="127">
        <f t="shared" si="2"/>
        <v>9366.4</v>
      </c>
      <c r="U70" s="129">
        <f>T70/$T$74</f>
        <v>5.0271494462672496E-3</v>
      </c>
      <c r="V70" s="115" t="s">
        <v>249</v>
      </c>
      <c r="W70" s="129"/>
      <c r="X70" s="130">
        <f t="shared" si="4"/>
        <v>27220.969999999998</v>
      </c>
      <c r="Y70" s="129"/>
      <c r="Z70" s="130">
        <f t="shared" si="5"/>
        <v>9366.4</v>
      </c>
      <c r="AA70" s="129"/>
      <c r="AB70" s="130">
        <f t="shared" si="28"/>
        <v>17854.57</v>
      </c>
      <c r="AC70" s="130"/>
      <c r="AD70" s="129">
        <f t="shared" si="29"/>
        <v>2.9062361206012981</v>
      </c>
      <c r="AE70" s="130"/>
      <c r="AF70" s="129">
        <f t="shared" si="8"/>
        <v>1.9062361206012981</v>
      </c>
    </row>
    <row r="71" spans="1:32" s="54" customFormat="1" ht="54.95" customHeight="1" x14ac:dyDescent="0.85">
      <c r="A71" s="114" t="s">
        <v>250</v>
      </c>
      <c r="B71" s="127">
        <f>[3]CNT!N240+[3]CNT!N221</f>
        <v>109587.13999999998</v>
      </c>
      <c r="C71" s="127">
        <v>0</v>
      </c>
      <c r="D71" s="127">
        <f>DEP!J47</f>
        <v>58040.659999999996</v>
      </c>
      <c r="E71" s="127">
        <v>0</v>
      </c>
      <c r="F71" s="127">
        <v>0</v>
      </c>
      <c r="G71" s="127">
        <v>0</v>
      </c>
      <c r="H71" s="127">
        <v>0</v>
      </c>
      <c r="I71" s="127">
        <f t="shared" si="25"/>
        <v>167627.79999999999</v>
      </c>
      <c r="J71" s="128">
        <f t="shared" si="26"/>
        <v>5.78976587855842E-2</v>
      </c>
      <c r="K71" s="128"/>
      <c r="L71" s="115" t="s">
        <v>250</v>
      </c>
      <c r="M71" s="127">
        <v>1675</v>
      </c>
      <c r="N71" s="127">
        <v>0</v>
      </c>
      <c r="O71" s="127">
        <v>49052.42</v>
      </c>
      <c r="P71" s="127">
        <v>0</v>
      </c>
      <c r="Q71" s="127">
        <v>0</v>
      </c>
      <c r="R71" s="127">
        <v>0</v>
      </c>
      <c r="S71" s="127">
        <v>0</v>
      </c>
      <c r="T71" s="127">
        <f t="shared" si="2"/>
        <v>50727.42</v>
      </c>
      <c r="U71" s="129">
        <f>T71/$T$74</f>
        <v>2.7226503391224611E-2</v>
      </c>
      <c r="V71" s="115" t="s">
        <v>250</v>
      </c>
      <c r="W71" s="129"/>
      <c r="X71" s="130">
        <f t="shared" si="4"/>
        <v>167627.79999999999</v>
      </c>
      <c r="Y71" s="129"/>
      <c r="Z71" s="130">
        <f t="shared" si="5"/>
        <v>50727.42</v>
      </c>
      <c r="AA71" s="129"/>
      <c r="AB71" s="130">
        <f t="shared" si="28"/>
        <v>116900.37999999999</v>
      </c>
      <c r="AC71" s="130"/>
      <c r="AD71" s="129">
        <f t="shared" si="29"/>
        <v>3.3044810873488144</v>
      </c>
      <c r="AE71" s="130"/>
      <c r="AF71" s="129">
        <f t="shared" si="8"/>
        <v>2.3044810873488144</v>
      </c>
    </row>
    <row r="72" spans="1:32" s="54" customFormat="1" ht="54.95" customHeight="1" x14ac:dyDescent="0.85">
      <c r="A72" s="114" t="s">
        <v>374</v>
      </c>
      <c r="B72" s="127">
        <f>[3]CNT!N245</f>
        <v>22526.6</v>
      </c>
      <c r="C72" s="127">
        <v>0</v>
      </c>
      <c r="D72" s="127">
        <f>DEP!J51</f>
        <v>7476.93</v>
      </c>
      <c r="E72" s="127">
        <v>0</v>
      </c>
      <c r="F72" s="127">
        <f>'BSC (Dome)'!J54</f>
        <v>2372.79</v>
      </c>
      <c r="G72" s="127">
        <v>0</v>
      </c>
      <c r="H72" s="127">
        <v>0</v>
      </c>
      <c r="I72" s="127">
        <f t="shared" si="25"/>
        <v>32376.32</v>
      </c>
      <c r="J72" s="128">
        <f t="shared" si="26"/>
        <v>1.1182591002762582E-2</v>
      </c>
      <c r="K72" s="128"/>
      <c r="L72" s="115" t="s">
        <v>374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7">
        <v>0</v>
      </c>
      <c r="T72" s="127">
        <f t="shared" si="2"/>
        <v>0</v>
      </c>
      <c r="U72" s="129">
        <f>T72/$T$74</f>
        <v>0</v>
      </c>
      <c r="V72" s="115" t="s">
        <v>374</v>
      </c>
      <c r="W72" s="129"/>
      <c r="X72" s="130">
        <f t="shared" si="4"/>
        <v>32376.32</v>
      </c>
      <c r="Y72" s="129"/>
      <c r="Z72" s="130">
        <f t="shared" si="5"/>
        <v>0</v>
      </c>
      <c r="AA72" s="129"/>
      <c r="AB72" s="130">
        <f t="shared" si="28"/>
        <v>32376.32</v>
      </c>
      <c r="AC72" s="130"/>
      <c r="AD72" s="142">
        <v>0</v>
      </c>
      <c r="AE72" s="130"/>
      <c r="AF72" s="129">
        <f t="shared" si="8"/>
        <v>-1</v>
      </c>
    </row>
    <row r="73" spans="1:32" s="54" customFormat="1" ht="54.95" customHeight="1" x14ac:dyDescent="0.85">
      <c r="A73" s="114" t="s">
        <v>375</v>
      </c>
      <c r="B73" s="127">
        <f>[3]CNT!N246</f>
        <v>9681.14</v>
      </c>
      <c r="C73" s="127">
        <f>BPM!J49</f>
        <v>4720.28</v>
      </c>
      <c r="D73" s="127">
        <f>DEP!J52</f>
        <v>5065.4799999999996</v>
      </c>
      <c r="E73" s="127">
        <v>0</v>
      </c>
      <c r="F73" s="127">
        <f>'BSC (Dome)'!J55</f>
        <v>4735.24</v>
      </c>
      <c r="G73" s="127">
        <v>0</v>
      </c>
      <c r="H73" s="127">
        <v>0</v>
      </c>
      <c r="I73" s="127">
        <f t="shared" si="25"/>
        <v>24202.14</v>
      </c>
      <c r="J73" s="128">
        <f t="shared" si="26"/>
        <v>8.359277181952748E-3</v>
      </c>
      <c r="K73" s="128"/>
      <c r="L73" s="115" t="s">
        <v>375</v>
      </c>
      <c r="M73" s="127">
        <v>0</v>
      </c>
      <c r="N73" s="127">
        <v>0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f t="shared" si="2"/>
        <v>0</v>
      </c>
      <c r="U73" s="129">
        <f>T73/$T$74</f>
        <v>0</v>
      </c>
      <c r="V73" s="115" t="s">
        <v>375</v>
      </c>
      <c r="W73" s="129"/>
      <c r="X73" s="130">
        <f t="shared" si="4"/>
        <v>24202.14</v>
      </c>
      <c r="Y73" s="129"/>
      <c r="Z73" s="130">
        <f t="shared" si="5"/>
        <v>0</v>
      </c>
      <c r="AA73" s="129"/>
      <c r="AB73" s="130">
        <f t="shared" si="28"/>
        <v>24202.14</v>
      </c>
      <c r="AC73" s="130"/>
      <c r="AD73" s="142">
        <v>0</v>
      </c>
      <c r="AE73" s="130"/>
      <c r="AF73" s="143">
        <f t="shared" si="8"/>
        <v>-1</v>
      </c>
    </row>
    <row r="74" spans="1:32" s="54" customFormat="1" ht="54.95" customHeight="1" x14ac:dyDescent="0.85">
      <c r="A74" s="125" t="s">
        <v>251</v>
      </c>
      <c r="B74" s="132">
        <f>SUM(B52:B73)</f>
        <v>1725215.9999999998</v>
      </c>
      <c r="C74" s="132">
        <f t="shared" ref="C74:H74" si="30">SUM(C52:C73)</f>
        <v>10799.400000000001</v>
      </c>
      <c r="D74" s="132">
        <f t="shared" si="30"/>
        <v>757168.60000000009</v>
      </c>
      <c r="E74" s="132">
        <f t="shared" si="30"/>
        <v>109</v>
      </c>
      <c r="F74" s="132">
        <f>SUM(F52:F73)</f>
        <v>209332.35</v>
      </c>
      <c r="G74" s="132">
        <f>SUM(G52:G73)</f>
        <v>74530.160000000018</v>
      </c>
      <c r="H74" s="132">
        <f t="shared" si="30"/>
        <v>118087.64</v>
      </c>
      <c r="I74" s="132">
        <f t="shared" si="25"/>
        <v>2895243.1500000004</v>
      </c>
      <c r="J74" s="133">
        <f>SUM(J52:J73)</f>
        <v>0.99999999999999978</v>
      </c>
      <c r="K74" s="134"/>
      <c r="L74" s="126" t="s">
        <v>251</v>
      </c>
      <c r="M74" s="132">
        <f t="shared" ref="M74:S74" si="31">SUM(M52:M73)</f>
        <v>1114752.49</v>
      </c>
      <c r="N74" s="132">
        <f t="shared" si="31"/>
        <v>15268.609999999999</v>
      </c>
      <c r="O74" s="132">
        <f t="shared" si="31"/>
        <v>462884.66</v>
      </c>
      <c r="P74" s="132">
        <f t="shared" si="31"/>
        <v>0</v>
      </c>
      <c r="Q74" s="132">
        <f t="shared" si="31"/>
        <v>235687.43000000005</v>
      </c>
      <c r="R74" s="132">
        <f t="shared" si="31"/>
        <v>34050.04</v>
      </c>
      <c r="S74" s="132">
        <f t="shared" si="31"/>
        <v>520</v>
      </c>
      <c r="T74" s="132">
        <f t="shared" si="2"/>
        <v>1863163.23</v>
      </c>
      <c r="U74" s="135">
        <f>SUM(U52:U73)</f>
        <v>1.0000000000000002</v>
      </c>
      <c r="V74" s="126" t="s">
        <v>251</v>
      </c>
      <c r="W74" s="136"/>
      <c r="X74" s="137">
        <f t="shared" si="4"/>
        <v>2895243.1500000004</v>
      </c>
      <c r="Y74" s="136"/>
      <c r="Z74" s="137">
        <f t="shared" si="5"/>
        <v>1863163.23</v>
      </c>
      <c r="AA74" s="136"/>
      <c r="AB74" s="137">
        <f>I74-T74</f>
        <v>1032079.9200000004</v>
      </c>
      <c r="AC74" s="137"/>
      <c r="AD74" s="135">
        <f>I74/T74</f>
        <v>1.5539396137610555</v>
      </c>
      <c r="AE74" s="137"/>
      <c r="AF74" s="135">
        <f t="shared" si="8"/>
        <v>0.55393961376105549</v>
      </c>
    </row>
    <row r="75" spans="1:32" s="54" customFormat="1" ht="54.95" customHeight="1" x14ac:dyDescent="0.85">
      <c r="A75" s="114"/>
      <c r="B75" s="127"/>
      <c r="C75" s="127"/>
      <c r="D75" s="127"/>
      <c r="E75" s="127"/>
      <c r="F75" s="127"/>
      <c r="G75" s="127"/>
      <c r="H75" s="127"/>
      <c r="I75" s="127"/>
      <c r="J75" s="115"/>
      <c r="K75" s="115"/>
      <c r="L75" s="115"/>
      <c r="M75" s="127"/>
      <c r="N75" s="127"/>
      <c r="O75" s="127"/>
      <c r="P75" s="127"/>
      <c r="Q75" s="127"/>
      <c r="R75" s="127"/>
      <c r="S75" s="127"/>
      <c r="T75" s="127"/>
      <c r="U75" s="114"/>
      <c r="V75" s="115"/>
      <c r="W75" s="114"/>
      <c r="X75" s="130"/>
      <c r="Y75" s="114"/>
      <c r="Z75" s="130">
        <f t="shared" si="5"/>
        <v>0</v>
      </c>
      <c r="AA75" s="114"/>
      <c r="AB75" s="130"/>
      <c r="AC75" s="130"/>
      <c r="AD75" s="129"/>
      <c r="AE75" s="130"/>
      <c r="AF75" s="129"/>
    </row>
    <row r="76" spans="1:32" s="54" customFormat="1" ht="54.95" customHeight="1" x14ac:dyDescent="0.85">
      <c r="A76" s="125" t="s">
        <v>252</v>
      </c>
      <c r="B76" s="127"/>
      <c r="C76" s="127"/>
      <c r="D76" s="127"/>
      <c r="E76" s="127"/>
      <c r="F76" s="127"/>
      <c r="G76" s="127"/>
      <c r="H76" s="127"/>
      <c r="I76" s="127"/>
      <c r="J76" s="115"/>
      <c r="K76" s="115"/>
      <c r="L76" s="126" t="s">
        <v>252</v>
      </c>
      <c r="M76" s="127"/>
      <c r="N76" s="127"/>
      <c r="O76" s="127"/>
      <c r="P76" s="127"/>
      <c r="Q76" s="127"/>
      <c r="R76" s="127"/>
      <c r="S76" s="127"/>
      <c r="T76" s="127"/>
      <c r="U76" s="114"/>
      <c r="V76" s="126" t="s">
        <v>252</v>
      </c>
      <c r="W76" s="114"/>
      <c r="X76" s="130"/>
      <c r="Y76" s="114"/>
      <c r="Z76" s="130">
        <f t="shared" si="5"/>
        <v>0</v>
      </c>
      <c r="AA76" s="114"/>
      <c r="AB76" s="130"/>
      <c r="AC76" s="130"/>
      <c r="AD76" s="129"/>
      <c r="AE76" s="130"/>
      <c r="AF76" s="129"/>
    </row>
    <row r="77" spans="1:32" s="54" customFormat="1" ht="54.95" customHeight="1" x14ac:dyDescent="0.85">
      <c r="A77" s="114" t="s">
        <v>253</v>
      </c>
      <c r="B77" s="127">
        <f>CNT!N227</f>
        <v>7245.54</v>
      </c>
      <c r="C77" s="127">
        <v>0</v>
      </c>
      <c r="D77" s="127">
        <f>DEP!J56</f>
        <v>1279.46</v>
      </c>
      <c r="E77" s="127">
        <v>0</v>
      </c>
      <c r="F77" s="127">
        <f>'BSC (Dome)'!J59</f>
        <v>2726.38</v>
      </c>
      <c r="G77" s="127">
        <v>0</v>
      </c>
      <c r="H77" s="127">
        <v>0</v>
      </c>
      <c r="I77" s="127">
        <f t="shared" ref="I77:I98" si="32">SUM(B77:H77)</f>
        <v>11251.380000000001</v>
      </c>
      <c r="J77" s="128">
        <f t="shared" ref="J77:J95" si="33">I77/$I$96</f>
        <v>1.4249999933508159E-2</v>
      </c>
      <c r="K77" s="128"/>
      <c r="L77" s="115" t="s">
        <v>253</v>
      </c>
      <c r="M77" s="127">
        <v>8188.58</v>
      </c>
      <c r="N77" s="127">
        <v>0</v>
      </c>
      <c r="O77" s="127">
        <v>1255.58</v>
      </c>
      <c r="P77" s="127">
        <v>0</v>
      </c>
      <c r="Q77" s="127">
        <v>0</v>
      </c>
      <c r="R77" s="127">
        <v>0</v>
      </c>
      <c r="S77" s="127">
        <v>0</v>
      </c>
      <c r="T77" s="127">
        <f t="shared" si="2"/>
        <v>9444.16</v>
      </c>
      <c r="U77" s="129">
        <f t="shared" ref="U77:U95" si="34">T77/$T$96</f>
        <v>1.314013817336363E-2</v>
      </c>
      <c r="V77" s="115" t="s">
        <v>253</v>
      </c>
      <c r="W77" s="129"/>
      <c r="X77" s="130">
        <f t="shared" si="4"/>
        <v>11251.380000000001</v>
      </c>
      <c r="Y77" s="129"/>
      <c r="Z77" s="130">
        <f t="shared" si="5"/>
        <v>9444.16</v>
      </c>
      <c r="AA77" s="129"/>
      <c r="AB77" s="130">
        <f>I77-T77</f>
        <v>1807.2200000000012</v>
      </c>
      <c r="AC77" s="130"/>
      <c r="AD77" s="129">
        <f>I77/T77</f>
        <v>1.1913584691491885</v>
      </c>
      <c r="AE77" s="130"/>
      <c r="AF77" s="129">
        <f t="shared" si="8"/>
        <v>0.19135846914918853</v>
      </c>
    </row>
    <row r="78" spans="1:32" s="54" customFormat="1" ht="54.95" customHeight="1" x14ac:dyDescent="0.85">
      <c r="A78" s="114" t="s">
        <v>397</v>
      </c>
      <c r="B78" s="127">
        <f>CNT!N225</f>
        <v>4500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7">
        <f t="shared" si="32"/>
        <v>4500</v>
      </c>
      <c r="J78" s="128">
        <f t="shared" si="33"/>
        <v>5.699300859164539E-3</v>
      </c>
      <c r="K78" s="128"/>
      <c r="L78" s="115" t="s">
        <v>397</v>
      </c>
      <c r="M78" s="127">
        <v>2500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f>SUM(M78:S78)</f>
        <v>2500</v>
      </c>
      <c r="U78" s="129">
        <f t="shared" si="34"/>
        <v>3.4783766299394626E-3</v>
      </c>
      <c r="V78" s="115" t="s">
        <v>397</v>
      </c>
      <c r="W78" s="129"/>
      <c r="X78" s="130">
        <f t="shared" si="4"/>
        <v>4500</v>
      </c>
      <c r="Y78" s="129"/>
      <c r="Z78" s="130">
        <f t="shared" si="5"/>
        <v>2500</v>
      </c>
      <c r="AA78" s="129"/>
      <c r="AB78" s="130">
        <f>I78-T78</f>
        <v>2000</v>
      </c>
      <c r="AC78" s="130"/>
      <c r="AD78" s="129">
        <f>I78/T78</f>
        <v>1.8</v>
      </c>
      <c r="AE78" s="130"/>
      <c r="AF78" s="129">
        <f>AD78-1</f>
        <v>0.8</v>
      </c>
    </row>
    <row r="79" spans="1:32" s="54" customFormat="1" ht="54.95" customHeight="1" x14ac:dyDescent="0.85">
      <c r="A79" s="114" t="s">
        <v>254</v>
      </c>
      <c r="B79" s="127">
        <f>CNT!N228</f>
        <v>80024.009999999995</v>
      </c>
      <c r="C79" s="127">
        <f>BPM!J47</f>
        <v>7175.02</v>
      </c>
      <c r="D79" s="127">
        <f>DEP!J57</f>
        <v>5829.22</v>
      </c>
      <c r="E79" s="127">
        <f>Lending!J9</f>
        <v>1647.2000000000003</v>
      </c>
      <c r="F79" s="127">
        <f>'BSC (Dome)'!J60</f>
        <v>2107.6899999999996</v>
      </c>
      <c r="G79" s="127">
        <v>0</v>
      </c>
      <c r="H79" s="127">
        <f>'722 Bedford St'!J16</f>
        <v>622.5100000000001</v>
      </c>
      <c r="I79" s="127">
        <f t="shared" si="32"/>
        <v>97405.65</v>
      </c>
      <c r="J79" s="128">
        <f t="shared" si="33"/>
        <v>0.12336535660721785</v>
      </c>
      <c r="K79" s="128"/>
      <c r="L79" s="115" t="s">
        <v>254</v>
      </c>
      <c r="M79" s="127">
        <v>89473.67</v>
      </c>
      <c r="N79" s="127">
        <v>5499.12</v>
      </c>
      <c r="O79" s="127">
        <v>6058.88</v>
      </c>
      <c r="P79" s="127">
        <v>1529.48</v>
      </c>
      <c r="Q79" s="127">
        <v>3004.74</v>
      </c>
      <c r="R79" s="127">
        <v>54</v>
      </c>
      <c r="S79" s="127">
        <v>591.01</v>
      </c>
      <c r="T79" s="127">
        <f t="shared" si="2"/>
        <v>106210.9</v>
      </c>
      <c r="U79" s="129">
        <f t="shared" si="34"/>
        <v>0.1477766049619349</v>
      </c>
      <c r="V79" s="115" t="s">
        <v>254</v>
      </c>
      <c r="W79" s="129"/>
      <c r="X79" s="130">
        <f t="shared" si="4"/>
        <v>97405.65</v>
      </c>
      <c r="Y79" s="129"/>
      <c r="Z79" s="130">
        <f t="shared" si="5"/>
        <v>106210.9</v>
      </c>
      <c r="AA79" s="129"/>
      <c r="AB79" s="130">
        <f t="shared" ref="AB79:AB94" si="35">I79-T79</f>
        <v>-8805.25</v>
      </c>
      <c r="AC79" s="130"/>
      <c r="AD79" s="129">
        <f t="shared" ref="AD79:AD91" si="36">I79/T79</f>
        <v>0.91709655035405968</v>
      </c>
      <c r="AE79" s="130"/>
      <c r="AF79" s="129">
        <f t="shared" si="8"/>
        <v>-8.2903449645940319E-2</v>
      </c>
    </row>
    <row r="80" spans="1:32" s="54" customFormat="1" ht="54.95" customHeight="1" x14ac:dyDescent="0.85">
      <c r="A80" s="114" t="s">
        <v>368</v>
      </c>
      <c r="B80" s="127">
        <v>0</v>
      </c>
      <c r="C80" s="127">
        <v>0</v>
      </c>
      <c r="D80" s="127">
        <v>0</v>
      </c>
      <c r="E80" s="127">
        <v>0</v>
      </c>
      <c r="F80" s="127">
        <f>'BSC (Dome)'!J61</f>
        <v>3298.6400000000003</v>
      </c>
      <c r="G80" s="127">
        <v>0</v>
      </c>
      <c r="H80" s="127">
        <v>0</v>
      </c>
      <c r="I80" s="127">
        <f t="shared" si="32"/>
        <v>3298.6400000000003</v>
      </c>
      <c r="J80" s="128">
        <f t="shared" si="33"/>
        <v>4.177764841349893E-3</v>
      </c>
      <c r="K80" s="128"/>
      <c r="L80" s="115" t="s">
        <v>368</v>
      </c>
      <c r="M80" s="127">
        <v>0</v>
      </c>
      <c r="N80" s="127">
        <v>0</v>
      </c>
      <c r="O80" s="127">
        <v>0</v>
      </c>
      <c r="P80" s="127">
        <v>0</v>
      </c>
      <c r="Q80" s="127">
        <v>2774.88</v>
      </c>
      <c r="R80" s="127">
        <v>0</v>
      </c>
      <c r="S80" s="127">
        <v>0</v>
      </c>
      <c r="T80" s="127">
        <f>SUM(M80:S80)</f>
        <v>2774.88</v>
      </c>
      <c r="U80" s="129">
        <f t="shared" si="34"/>
        <v>3.8608310971545664E-3</v>
      </c>
      <c r="V80" s="115" t="s">
        <v>368</v>
      </c>
      <c r="W80" s="129"/>
      <c r="X80" s="130">
        <f t="shared" si="4"/>
        <v>3298.6400000000003</v>
      </c>
      <c r="Y80" s="129"/>
      <c r="Z80" s="130">
        <f t="shared" si="5"/>
        <v>2774.88</v>
      </c>
      <c r="AA80" s="129"/>
      <c r="AB80" s="130">
        <f t="shared" si="35"/>
        <v>523.76000000000022</v>
      </c>
      <c r="AC80" s="130"/>
      <c r="AD80" s="129">
        <f t="shared" si="36"/>
        <v>1.188750504526322</v>
      </c>
      <c r="AE80" s="130"/>
      <c r="AF80" s="129">
        <f t="shared" si="8"/>
        <v>0.18875050452632203</v>
      </c>
    </row>
    <row r="81" spans="1:32" s="54" customFormat="1" ht="54.95" customHeight="1" x14ac:dyDescent="0.85">
      <c r="A81" s="114" t="s">
        <v>255</v>
      </c>
      <c r="B81" s="127">
        <f>CNT!N230</f>
        <v>3809.0299999999997</v>
      </c>
      <c r="C81" s="127">
        <v>0</v>
      </c>
      <c r="D81" s="127">
        <v>0</v>
      </c>
      <c r="E81" s="127">
        <v>0</v>
      </c>
      <c r="F81" s="127">
        <f>'BSC (Dome)'!J65</f>
        <v>988.30000000000007</v>
      </c>
      <c r="G81" s="127">
        <v>0</v>
      </c>
      <c r="H81" s="127">
        <v>0</v>
      </c>
      <c r="I81" s="127">
        <f t="shared" si="32"/>
        <v>4797.33</v>
      </c>
      <c r="J81" s="128">
        <f t="shared" si="33"/>
        <v>6.0758726645990706E-3</v>
      </c>
      <c r="K81" s="128"/>
      <c r="L81" s="115" t="s">
        <v>255</v>
      </c>
      <c r="M81" s="127">
        <v>6700.9</v>
      </c>
      <c r="N81" s="127">
        <v>0</v>
      </c>
      <c r="O81" s="127">
        <v>100</v>
      </c>
      <c r="P81" s="127">
        <v>0</v>
      </c>
      <c r="Q81" s="127">
        <v>3890.97</v>
      </c>
      <c r="R81" s="127">
        <v>0</v>
      </c>
      <c r="S81" s="127">
        <v>0</v>
      </c>
      <c r="T81" s="127">
        <f t="shared" si="2"/>
        <v>10691.869999999999</v>
      </c>
      <c r="U81" s="129">
        <f t="shared" si="34"/>
        <v>1.4876140295340335E-2</v>
      </c>
      <c r="V81" s="115" t="s">
        <v>255</v>
      </c>
      <c r="W81" s="129"/>
      <c r="X81" s="130">
        <f t="shared" ref="X81:X116" si="37">I81</f>
        <v>4797.33</v>
      </c>
      <c r="Y81" s="129"/>
      <c r="Z81" s="130">
        <f t="shared" ref="Z81:Z116" si="38">T81</f>
        <v>10691.869999999999</v>
      </c>
      <c r="AA81" s="129"/>
      <c r="AB81" s="130">
        <f t="shared" si="35"/>
        <v>-5894.5399999999991</v>
      </c>
      <c r="AC81" s="130"/>
      <c r="AD81" s="129">
        <f t="shared" si="36"/>
        <v>0.44868951829754761</v>
      </c>
      <c r="AE81" s="130"/>
      <c r="AF81" s="129">
        <f t="shared" si="8"/>
        <v>-0.55131048170245234</v>
      </c>
    </row>
    <row r="82" spans="1:32" s="54" customFormat="1" ht="54.95" customHeight="1" x14ac:dyDescent="0.85">
      <c r="A82" s="114" t="s">
        <v>365</v>
      </c>
      <c r="B82" s="127">
        <f>CNT!N248</f>
        <v>232285.71000000002</v>
      </c>
      <c r="C82" s="127">
        <f>BPM!J50</f>
        <v>21000</v>
      </c>
      <c r="D82" s="127">
        <f>DEP!J61</f>
        <v>33000</v>
      </c>
      <c r="E82" s="127">
        <f>Lending!J12</f>
        <v>1038.3400000000001</v>
      </c>
      <c r="F82" s="127">
        <f>'BSC (Dome)'!J66</f>
        <v>3875</v>
      </c>
      <c r="G82" s="127">
        <f>'Oliari Co.'!J15</f>
        <v>2385</v>
      </c>
      <c r="H82" s="127">
        <v>0</v>
      </c>
      <c r="I82" s="127">
        <f t="shared" si="32"/>
        <v>293584.05000000005</v>
      </c>
      <c r="J82" s="128">
        <f t="shared" si="33"/>
        <v>0.37182751742266784</v>
      </c>
      <c r="K82" s="128"/>
      <c r="L82" s="115" t="s">
        <v>365</v>
      </c>
      <c r="M82" s="127">
        <v>285175.69</v>
      </c>
      <c r="N82" s="127">
        <v>45752.43</v>
      </c>
      <c r="O82" s="127">
        <v>58520.51</v>
      </c>
      <c r="P82" s="127">
        <v>0</v>
      </c>
      <c r="Q82" s="127">
        <v>14338.35</v>
      </c>
      <c r="R82" s="127">
        <v>2300</v>
      </c>
      <c r="S82" s="127">
        <v>1825</v>
      </c>
      <c r="T82" s="127">
        <f t="shared" si="2"/>
        <v>407911.98</v>
      </c>
      <c r="U82" s="129">
        <f t="shared" si="34"/>
        <v>0.5675485993217334</v>
      </c>
      <c r="V82" s="115" t="s">
        <v>365</v>
      </c>
      <c r="W82" s="129"/>
      <c r="X82" s="130">
        <f t="shared" si="37"/>
        <v>293584.05000000005</v>
      </c>
      <c r="Y82" s="129"/>
      <c r="Z82" s="130">
        <f t="shared" si="38"/>
        <v>407911.98</v>
      </c>
      <c r="AA82" s="129"/>
      <c r="AB82" s="130">
        <f t="shared" si="35"/>
        <v>-114327.92999999993</v>
      </c>
      <c r="AC82" s="130"/>
      <c r="AD82" s="129">
        <f t="shared" si="36"/>
        <v>0.71972401987311097</v>
      </c>
      <c r="AE82" s="130"/>
      <c r="AF82" s="129">
        <f t="shared" si="8"/>
        <v>-0.28027598012688903</v>
      </c>
    </row>
    <row r="83" spans="1:32" s="54" customFormat="1" ht="54.95" customHeight="1" x14ac:dyDescent="0.85">
      <c r="A83" s="114" t="s">
        <v>366</v>
      </c>
      <c r="B83" s="127">
        <f>CNT!N249</f>
        <v>60500</v>
      </c>
      <c r="C83" s="127">
        <f>BPM!J51</f>
        <v>30000</v>
      </c>
      <c r="D83" s="127">
        <f>DEP!J62</f>
        <v>18000</v>
      </c>
      <c r="E83" s="127">
        <v>0</v>
      </c>
      <c r="F83" s="127">
        <f>'BSC (Dome)'!J67</f>
        <v>12000</v>
      </c>
      <c r="G83" s="127">
        <v>0</v>
      </c>
      <c r="H83" s="127">
        <v>0</v>
      </c>
      <c r="I83" s="127">
        <f t="shared" si="32"/>
        <v>120500</v>
      </c>
      <c r="J83" s="128">
        <f t="shared" si="33"/>
        <v>0.15261461189540598</v>
      </c>
      <c r="K83" s="128"/>
      <c r="L83" s="115" t="s">
        <v>366</v>
      </c>
      <c r="M83" s="127">
        <v>0</v>
      </c>
      <c r="N83" s="127">
        <v>0</v>
      </c>
      <c r="O83" s="127">
        <v>0</v>
      </c>
      <c r="P83" s="127">
        <v>0</v>
      </c>
      <c r="Q83" s="127">
        <v>7806.06</v>
      </c>
      <c r="R83" s="127">
        <v>0</v>
      </c>
      <c r="S83" s="127">
        <v>0</v>
      </c>
      <c r="T83" s="127">
        <f>SUM(M83:S83)</f>
        <v>7806.06</v>
      </c>
      <c r="U83" s="129">
        <f t="shared" si="34"/>
        <v>1.0860966670362097E-2</v>
      </c>
      <c r="V83" s="115" t="s">
        <v>366</v>
      </c>
      <c r="W83" s="129"/>
      <c r="X83" s="130">
        <f t="shared" si="37"/>
        <v>120500</v>
      </c>
      <c r="Y83" s="129"/>
      <c r="Z83" s="130">
        <f t="shared" si="38"/>
        <v>7806.06</v>
      </c>
      <c r="AA83" s="129"/>
      <c r="AB83" s="130">
        <f t="shared" si="35"/>
        <v>112693.94</v>
      </c>
      <c r="AC83" s="130"/>
      <c r="AD83" s="129">
        <f t="shared" si="36"/>
        <v>15.43672480098795</v>
      </c>
      <c r="AE83" s="130"/>
      <c r="AF83" s="129">
        <f t="shared" si="8"/>
        <v>14.43672480098795</v>
      </c>
    </row>
    <row r="84" spans="1:32" s="54" customFormat="1" ht="54.95" customHeight="1" x14ac:dyDescent="0.85">
      <c r="A84" s="114" t="s">
        <v>367</v>
      </c>
      <c r="B84" s="127">
        <f>CNT!N247</f>
        <v>45162.01</v>
      </c>
      <c r="C84" s="127">
        <v>0</v>
      </c>
      <c r="D84" s="127">
        <f>DEP!J60</f>
        <v>-5776.56</v>
      </c>
      <c r="E84" s="127">
        <f>Lending!J11</f>
        <v>7500</v>
      </c>
      <c r="F84" s="127">
        <v>0</v>
      </c>
      <c r="G84" s="127">
        <v>0</v>
      </c>
      <c r="H84" s="127">
        <v>0</v>
      </c>
      <c r="I84" s="127">
        <f t="shared" si="32"/>
        <v>46885.450000000004</v>
      </c>
      <c r="J84" s="128">
        <f t="shared" si="33"/>
        <v>5.9380952326070234E-2</v>
      </c>
      <c r="K84" s="128"/>
      <c r="L84" s="115" t="s">
        <v>367</v>
      </c>
      <c r="M84" s="127">
        <v>0</v>
      </c>
      <c r="N84" s="127">
        <v>0</v>
      </c>
      <c r="O84" s="127">
        <v>0</v>
      </c>
      <c r="P84" s="127">
        <v>2731.25</v>
      </c>
      <c r="Q84" s="127">
        <v>0</v>
      </c>
      <c r="R84" s="127">
        <v>11520</v>
      </c>
      <c r="S84" s="127">
        <v>0</v>
      </c>
      <c r="T84" s="127">
        <f>SUM(M84:S84)</f>
        <v>14251.25</v>
      </c>
      <c r="U84" s="129">
        <f t="shared" si="34"/>
        <v>1.9828485978969905E-2</v>
      </c>
      <c r="V84" s="115" t="s">
        <v>367</v>
      </c>
      <c r="W84" s="129"/>
      <c r="X84" s="130">
        <f t="shared" si="37"/>
        <v>46885.450000000004</v>
      </c>
      <c r="Y84" s="129"/>
      <c r="Z84" s="130">
        <f t="shared" si="38"/>
        <v>14251.25</v>
      </c>
      <c r="AA84" s="129"/>
      <c r="AB84" s="130">
        <f t="shared" si="35"/>
        <v>32634.200000000004</v>
      </c>
      <c r="AC84" s="130"/>
      <c r="AD84" s="142">
        <v>0</v>
      </c>
      <c r="AE84" s="130"/>
      <c r="AF84" s="129">
        <f t="shared" si="8"/>
        <v>-1</v>
      </c>
    </row>
    <row r="85" spans="1:32" s="54" customFormat="1" ht="54.95" customHeight="1" x14ac:dyDescent="0.85">
      <c r="A85" s="114" t="s">
        <v>406</v>
      </c>
      <c r="B85" s="127">
        <f>CNT!N250</f>
        <v>33930</v>
      </c>
      <c r="C85" s="127">
        <v>0</v>
      </c>
      <c r="D85" s="127"/>
      <c r="E85" s="127">
        <v>0</v>
      </c>
      <c r="F85" s="127">
        <v>0</v>
      </c>
      <c r="G85" s="127">
        <v>0</v>
      </c>
      <c r="H85" s="127">
        <v>0</v>
      </c>
      <c r="I85" s="127">
        <f t="shared" si="32"/>
        <v>33930</v>
      </c>
      <c r="J85" s="128">
        <f t="shared" si="33"/>
        <v>4.2972728478100623E-2</v>
      </c>
      <c r="K85" s="128"/>
      <c r="L85" s="115" t="s">
        <v>406</v>
      </c>
      <c r="M85" s="127">
        <v>0</v>
      </c>
      <c r="N85" s="127">
        <v>0</v>
      </c>
      <c r="O85" s="127">
        <v>0</v>
      </c>
      <c r="P85" s="127">
        <v>0</v>
      </c>
      <c r="Q85" s="127">
        <v>0</v>
      </c>
      <c r="R85" s="127">
        <v>0</v>
      </c>
      <c r="S85" s="127">
        <v>0</v>
      </c>
      <c r="T85" s="127">
        <f>SUM(M85:S85)</f>
        <v>0</v>
      </c>
      <c r="U85" s="129">
        <f t="shared" si="34"/>
        <v>0</v>
      </c>
      <c r="V85" s="115" t="s">
        <v>406</v>
      </c>
      <c r="W85" s="129"/>
      <c r="X85" s="130">
        <f t="shared" si="37"/>
        <v>33930</v>
      </c>
      <c r="Y85" s="129"/>
      <c r="Z85" s="130">
        <f t="shared" si="38"/>
        <v>0</v>
      </c>
      <c r="AA85" s="129"/>
      <c r="AB85" s="130">
        <f>I85-T85</f>
        <v>33930</v>
      </c>
      <c r="AC85" s="130"/>
      <c r="AD85" s="142">
        <v>0</v>
      </c>
      <c r="AE85" s="130"/>
      <c r="AF85" s="129">
        <f t="shared" si="8"/>
        <v>-1</v>
      </c>
    </row>
    <row r="86" spans="1:32" s="54" customFormat="1" ht="54.95" customHeight="1" x14ac:dyDescent="0.85">
      <c r="A86" s="114" t="s">
        <v>395</v>
      </c>
      <c r="B86" s="127">
        <v>0</v>
      </c>
      <c r="C86" s="127">
        <v>0</v>
      </c>
      <c r="D86" s="127">
        <f>DEP!J63</f>
        <v>5958.3499999999995</v>
      </c>
      <c r="E86" s="127">
        <v>0</v>
      </c>
      <c r="F86" s="127">
        <v>0</v>
      </c>
      <c r="G86" s="127">
        <v>0</v>
      </c>
      <c r="H86" s="127">
        <v>0</v>
      </c>
      <c r="I86" s="127">
        <f t="shared" si="32"/>
        <v>5958.3499999999995</v>
      </c>
      <c r="J86" s="128">
        <f t="shared" si="33"/>
        <v>7.546317616489562E-3</v>
      </c>
      <c r="K86" s="128"/>
      <c r="L86" s="115" t="s">
        <v>395</v>
      </c>
      <c r="M86" s="127">
        <v>0</v>
      </c>
      <c r="N86" s="127">
        <v>0</v>
      </c>
      <c r="O86" s="127">
        <v>0</v>
      </c>
      <c r="P86" s="127">
        <v>0</v>
      </c>
      <c r="Q86" s="127">
        <v>0</v>
      </c>
      <c r="R86" s="127">
        <v>0</v>
      </c>
      <c r="S86" s="127">
        <v>0</v>
      </c>
      <c r="T86" s="127">
        <f>SUM(M86:S86)</f>
        <v>0</v>
      </c>
      <c r="U86" s="129">
        <f t="shared" si="34"/>
        <v>0</v>
      </c>
      <c r="V86" s="115" t="s">
        <v>395</v>
      </c>
      <c r="W86" s="129"/>
      <c r="X86" s="130">
        <f t="shared" si="37"/>
        <v>5958.3499999999995</v>
      </c>
      <c r="Y86" s="129"/>
      <c r="Z86" s="130">
        <f t="shared" si="38"/>
        <v>0</v>
      </c>
      <c r="AA86" s="129"/>
      <c r="AB86" s="130">
        <f t="shared" si="35"/>
        <v>5958.3499999999995</v>
      </c>
      <c r="AC86" s="130"/>
      <c r="AD86" s="142">
        <v>0</v>
      </c>
      <c r="AE86" s="130"/>
      <c r="AF86" s="129">
        <f t="shared" si="8"/>
        <v>-1</v>
      </c>
    </row>
    <row r="87" spans="1:32" s="54" customFormat="1" ht="54.95" customHeight="1" x14ac:dyDescent="0.85">
      <c r="A87" s="114" t="s">
        <v>257</v>
      </c>
      <c r="B87" s="127">
        <f>CNT!N234+CNT!N252</f>
        <v>35495.100000000006</v>
      </c>
      <c r="C87" s="127">
        <v>0</v>
      </c>
      <c r="D87" s="127">
        <f>DEP!J59</f>
        <v>9250</v>
      </c>
      <c r="E87" s="127">
        <v>0</v>
      </c>
      <c r="F87" s="127">
        <f>'BSC (Dome)'!J63:J63</f>
        <v>1195.2899999999997</v>
      </c>
      <c r="G87" s="127">
        <v>0</v>
      </c>
      <c r="H87" s="127">
        <v>0</v>
      </c>
      <c r="I87" s="127">
        <f t="shared" si="32"/>
        <v>45940.390000000007</v>
      </c>
      <c r="J87" s="128">
        <f t="shared" si="33"/>
        <v>5.8184023154967561E-2</v>
      </c>
      <c r="K87" s="128"/>
      <c r="L87" s="115" t="s">
        <v>257</v>
      </c>
      <c r="M87" s="127">
        <v>2562.1999999999998</v>
      </c>
      <c r="N87" s="127">
        <v>820.8</v>
      </c>
      <c r="O87" s="127">
        <v>0</v>
      </c>
      <c r="P87" s="127">
        <v>0</v>
      </c>
      <c r="Q87" s="127">
        <v>2689.13</v>
      </c>
      <c r="R87" s="127">
        <v>0</v>
      </c>
      <c r="S87" s="127">
        <v>0</v>
      </c>
      <c r="T87" s="127">
        <f t="shared" si="2"/>
        <v>6072.13</v>
      </c>
      <c r="U87" s="129">
        <f t="shared" si="34"/>
        <v>8.4484620343817235E-3</v>
      </c>
      <c r="V87" s="115" t="s">
        <v>257</v>
      </c>
      <c r="W87" s="129"/>
      <c r="X87" s="130">
        <f t="shared" si="37"/>
        <v>45940.390000000007</v>
      </c>
      <c r="Y87" s="129"/>
      <c r="Z87" s="130">
        <f t="shared" si="38"/>
        <v>6072.13</v>
      </c>
      <c r="AA87" s="129"/>
      <c r="AB87" s="130">
        <f t="shared" si="35"/>
        <v>39868.260000000009</v>
      </c>
      <c r="AC87" s="130"/>
      <c r="AD87" s="129">
        <f t="shared" si="36"/>
        <v>7.5657784006600659</v>
      </c>
      <c r="AE87" s="130"/>
      <c r="AF87" s="129">
        <f t="shared" si="8"/>
        <v>6.5657784006600659</v>
      </c>
    </row>
    <row r="88" spans="1:32" s="54" customFormat="1" ht="54.95" customHeight="1" x14ac:dyDescent="0.85">
      <c r="A88" s="114" t="s">
        <v>258</v>
      </c>
      <c r="B88" s="127">
        <f>CNT!N238</f>
        <v>25787.079999999998</v>
      </c>
      <c r="C88" s="127">
        <f>BPM!J48</f>
        <v>912.49</v>
      </c>
      <c r="D88" s="127">
        <f>DEP!J65</f>
        <v>2477.5</v>
      </c>
      <c r="E88" s="127">
        <v>0</v>
      </c>
      <c r="F88" s="127">
        <f>'BSC (Dome)'!J69</f>
        <v>642</v>
      </c>
      <c r="G88" s="127">
        <v>0</v>
      </c>
      <c r="H88" s="127">
        <v>0</v>
      </c>
      <c r="I88" s="127">
        <f t="shared" si="32"/>
        <v>29819.07</v>
      </c>
      <c r="J88" s="128">
        <f t="shared" si="33"/>
        <v>3.7766189171219454E-2</v>
      </c>
      <c r="K88" s="128"/>
      <c r="L88" s="115" t="s">
        <v>258</v>
      </c>
      <c r="M88" s="127">
        <v>28846.19</v>
      </c>
      <c r="N88" s="127">
        <v>1125.75</v>
      </c>
      <c r="O88" s="127">
        <v>1887.75</v>
      </c>
      <c r="P88" s="127">
        <v>0</v>
      </c>
      <c r="Q88" s="127">
        <v>623</v>
      </c>
      <c r="R88" s="127">
        <v>0</v>
      </c>
      <c r="S88" s="127">
        <v>0</v>
      </c>
      <c r="T88" s="127">
        <f t="shared" si="2"/>
        <v>32482.69</v>
      </c>
      <c r="U88" s="129">
        <f t="shared" si="34"/>
        <v>4.5194811909427313E-2</v>
      </c>
      <c r="V88" s="115" t="s">
        <v>258</v>
      </c>
      <c r="W88" s="129"/>
      <c r="X88" s="130">
        <f t="shared" si="37"/>
        <v>29819.07</v>
      </c>
      <c r="Y88" s="129"/>
      <c r="Z88" s="130">
        <f t="shared" si="38"/>
        <v>32482.69</v>
      </c>
      <c r="AA88" s="129"/>
      <c r="AB88" s="130">
        <f t="shared" si="35"/>
        <v>-2663.619999999999</v>
      </c>
      <c r="AC88" s="130"/>
      <c r="AD88" s="129">
        <f t="shared" si="36"/>
        <v>0.91799878643055732</v>
      </c>
      <c r="AE88" s="130"/>
      <c r="AF88" s="129">
        <f t="shared" si="8"/>
        <v>-8.2001213569442677E-2</v>
      </c>
    </row>
    <row r="89" spans="1:32" s="54" customFormat="1" ht="54.95" customHeight="1" x14ac:dyDescent="0.85">
      <c r="A89" s="114" t="s">
        <v>259</v>
      </c>
      <c r="B89" s="127">
        <f>CNT!N239</f>
        <v>21462.45</v>
      </c>
      <c r="C89" s="127">
        <f>0</f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7">
        <f t="shared" si="32"/>
        <v>21462.45</v>
      </c>
      <c r="J89" s="128">
        <f t="shared" si="33"/>
        <v>2.7182435494394658E-2</v>
      </c>
      <c r="K89" s="128"/>
      <c r="L89" s="115" t="s">
        <v>259</v>
      </c>
      <c r="M89" s="127">
        <v>19445.47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7">
        <v>0</v>
      </c>
      <c r="T89" s="127">
        <f t="shared" si="2"/>
        <v>19445.47</v>
      </c>
      <c r="U89" s="129">
        <f t="shared" si="34"/>
        <v>2.705546736247557E-2</v>
      </c>
      <c r="V89" s="115" t="s">
        <v>259</v>
      </c>
      <c r="W89" s="129"/>
      <c r="X89" s="130">
        <f t="shared" si="37"/>
        <v>21462.45</v>
      </c>
      <c r="Y89" s="129"/>
      <c r="Z89" s="130">
        <f t="shared" si="38"/>
        <v>19445.47</v>
      </c>
      <c r="AA89" s="129"/>
      <c r="AB89" s="130">
        <f t="shared" si="35"/>
        <v>2016.9799999999996</v>
      </c>
      <c r="AC89" s="130"/>
      <c r="AD89" s="142">
        <v>0</v>
      </c>
      <c r="AE89" s="130"/>
      <c r="AF89" s="129">
        <f t="shared" si="8"/>
        <v>-1</v>
      </c>
    </row>
    <row r="90" spans="1:32" s="54" customFormat="1" ht="54.95" customHeight="1" x14ac:dyDescent="0.85">
      <c r="A90" s="114" t="s">
        <v>298</v>
      </c>
      <c r="B90" s="127">
        <v>0</v>
      </c>
      <c r="C90" s="127">
        <f>0</f>
        <v>0</v>
      </c>
      <c r="D90" s="127">
        <f>DEP!J58</f>
        <v>300</v>
      </c>
      <c r="E90" s="127">
        <v>0</v>
      </c>
      <c r="F90" s="127">
        <f>'BSC (Dome)'!J62</f>
        <v>2600</v>
      </c>
      <c r="G90" s="127">
        <v>0</v>
      </c>
      <c r="H90" s="127">
        <v>0</v>
      </c>
      <c r="I90" s="127">
        <f t="shared" si="32"/>
        <v>2900</v>
      </c>
      <c r="J90" s="128">
        <f t="shared" si="33"/>
        <v>3.6728827759060362E-3</v>
      </c>
      <c r="K90" s="128"/>
      <c r="L90" s="115" t="s">
        <v>298</v>
      </c>
      <c r="M90" s="127">
        <v>0</v>
      </c>
      <c r="N90" s="127">
        <v>0</v>
      </c>
      <c r="O90" s="127">
        <v>0</v>
      </c>
      <c r="P90" s="127">
        <v>0</v>
      </c>
      <c r="Q90" s="127">
        <v>950</v>
      </c>
      <c r="R90" s="127">
        <v>0</v>
      </c>
      <c r="S90" s="127">
        <v>0</v>
      </c>
      <c r="T90" s="127">
        <f>SUM(M90:S90)</f>
        <v>950</v>
      </c>
      <c r="U90" s="129">
        <f t="shared" si="34"/>
        <v>1.3217831193769957E-3</v>
      </c>
      <c r="V90" s="115" t="s">
        <v>298</v>
      </c>
      <c r="W90" s="129"/>
      <c r="X90" s="130">
        <f t="shared" si="37"/>
        <v>2900</v>
      </c>
      <c r="Y90" s="129"/>
      <c r="Z90" s="130">
        <f t="shared" si="38"/>
        <v>950</v>
      </c>
      <c r="AA90" s="129"/>
      <c r="AB90" s="130">
        <f t="shared" si="35"/>
        <v>1950</v>
      </c>
      <c r="AC90" s="130"/>
      <c r="AD90" s="142">
        <v>0</v>
      </c>
      <c r="AE90" s="130"/>
      <c r="AF90" s="143">
        <v>0</v>
      </c>
    </row>
    <row r="91" spans="1:32" s="54" customFormat="1" ht="54.95" customHeight="1" x14ac:dyDescent="0.85">
      <c r="A91" s="114" t="s">
        <v>381</v>
      </c>
      <c r="B91" s="127">
        <f>CNT!N235</f>
        <v>290.73</v>
      </c>
      <c r="C91" s="127">
        <v>0</v>
      </c>
      <c r="D91" s="127">
        <v>0</v>
      </c>
      <c r="E91" s="127">
        <v>0</v>
      </c>
      <c r="F91" s="127">
        <f>'BSC (Dome)'!J64</f>
        <v>10329.9</v>
      </c>
      <c r="G91" s="127">
        <v>0</v>
      </c>
      <c r="H91" s="127">
        <v>0</v>
      </c>
      <c r="I91" s="127">
        <f t="shared" si="32"/>
        <v>10620.63</v>
      </c>
      <c r="J91" s="128">
        <f t="shared" si="33"/>
        <v>1.3451147929748594E-2</v>
      </c>
      <c r="K91" s="128"/>
      <c r="L91" s="115" t="s">
        <v>381</v>
      </c>
      <c r="M91" s="127">
        <v>696.89</v>
      </c>
      <c r="N91" s="127">
        <v>0</v>
      </c>
      <c r="O91" s="127">
        <v>0</v>
      </c>
      <c r="P91" s="127">
        <v>0</v>
      </c>
      <c r="Q91" s="127">
        <v>6832.94</v>
      </c>
      <c r="R91" s="127">
        <v>0</v>
      </c>
      <c r="S91" s="127">
        <v>0</v>
      </c>
      <c r="T91" s="127">
        <f>SUM(M91:S91)</f>
        <v>7529.83</v>
      </c>
      <c r="U91" s="129">
        <f t="shared" si="34"/>
        <v>1.0476633879766824E-2</v>
      </c>
      <c r="V91" s="115" t="s">
        <v>381</v>
      </c>
      <c r="W91" s="129"/>
      <c r="X91" s="130">
        <f t="shared" si="37"/>
        <v>10620.63</v>
      </c>
      <c r="Y91" s="129"/>
      <c r="Z91" s="130">
        <f t="shared" si="38"/>
        <v>7529.83</v>
      </c>
      <c r="AA91" s="129"/>
      <c r="AB91" s="130">
        <f t="shared" si="35"/>
        <v>3090.7999999999993</v>
      </c>
      <c r="AC91" s="130"/>
      <c r="AD91" s="129">
        <f t="shared" si="36"/>
        <v>1.4104740744478959</v>
      </c>
      <c r="AE91" s="130"/>
      <c r="AF91" s="143">
        <v>0</v>
      </c>
    </row>
    <row r="92" spans="1:32" s="54" customFormat="1" ht="54.95" customHeight="1" x14ac:dyDescent="0.85">
      <c r="A92" s="114" t="s">
        <v>260</v>
      </c>
      <c r="B92" s="127">
        <f>CNT!N241</f>
        <v>20986.639999999999</v>
      </c>
      <c r="C92" s="127">
        <f>0</f>
        <v>0</v>
      </c>
      <c r="D92" s="127">
        <f>0</f>
        <v>0</v>
      </c>
      <c r="E92" s="127">
        <v>0</v>
      </c>
      <c r="F92" s="127">
        <v>0</v>
      </c>
      <c r="G92" s="127">
        <v>0</v>
      </c>
      <c r="H92" s="127">
        <v>0</v>
      </c>
      <c r="I92" s="127">
        <f t="shared" si="32"/>
        <v>20986.639999999999</v>
      </c>
      <c r="J92" s="128">
        <f t="shared" si="33"/>
        <v>2.657981675177264E-2</v>
      </c>
      <c r="K92" s="128"/>
      <c r="L92" s="115" t="s">
        <v>260</v>
      </c>
      <c r="M92" s="127">
        <v>80000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f t="shared" si="2"/>
        <v>80000</v>
      </c>
      <c r="U92" s="129">
        <f t="shared" si="34"/>
        <v>0.1113080521580628</v>
      </c>
      <c r="V92" s="115" t="s">
        <v>260</v>
      </c>
      <c r="W92" s="129"/>
      <c r="X92" s="130">
        <f t="shared" si="37"/>
        <v>20986.639999999999</v>
      </c>
      <c r="Y92" s="129"/>
      <c r="Z92" s="130">
        <f t="shared" si="38"/>
        <v>80000</v>
      </c>
      <c r="AA92" s="129"/>
      <c r="AB92" s="130">
        <f t="shared" si="35"/>
        <v>-59013.36</v>
      </c>
      <c r="AC92" s="130"/>
      <c r="AD92" s="142">
        <v>0</v>
      </c>
      <c r="AE92" s="130"/>
      <c r="AF92" s="129">
        <f>AD92-1</f>
        <v>-1</v>
      </c>
    </row>
    <row r="93" spans="1:32" s="54" customFormat="1" ht="54.95" customHeight="1" x14ac:dyDescent="0.85">
      <c r="A93" s="114" t="s">
        <v>261</v>
      </c>
      <c r="B93" s="127">
        <f>CNT!N242+CNT!G253</f>
        <v>15330.12</v>
      </c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7">
        <f t="shared" si="32"/>
        <v>15330.12</v>
      </c>
      <c r="J93" s="128">
        <f t="shared" si="33"/>
        <v>1.9415770241576775E-2</v>
      </c>
      <c r="K93" s="128"/>
      <c r="L93" s="115" t="s">
        <v>261</v>
      </c>
      <c r="M93" s="127">
        <v>0</v>
      </c>
      <c r="N93" s="127">
        <v>0</v>
      </c>
      <c r="O93" s="127">
        <v>0</v>
      </c>
      <c r="P93" s="127">
        <v>0</v>
      </c>
      <c r="Q93" s="127">
        <v>0</v>
      </c>
      <c r="R93" s="127">
        <v>0</v>
      </c>
      <c r="S93" s="127">
        <v>0</v>
      </c>
      <c r="T93" s="127">
        <f t="shared" si="2"/>
        <v>0</v>
      </c>
      <c r="U93" s="129">
        <f t="shared" si="34"/>
        <v>0</v>
      </c>
      <c r="V93" s="115" t="s">
        <v>261</v>
      </c>
      <c r="W93" s="129"/>
      <c r="X93" s="130">
        <f t="shared" si="37"/>
        <v>15330.12</v>
      </c>
      <c r="Y93" s="129"/>
      <c r="Z93" s="130">
        <f t="shared" si="38"/>
        <v>0</v>
      </c>
      <c r="AA93" s="129"/>
      <c r="AB93" s="130">
        <f t="shared" si="35"/>
        <v>15330.12</v>
      </c>
      <c r="AC93" s="130"/>
      <c r="AD93" s="142">
        <v>0</v>
      </c>
      <c r="AE93" s="130"/>
      <c r="AF93" s="143">
        <v>0</v>
      </c>
    </row>
    <row r="94" spans="1:32" s="54" customFormat="1" ht="54.95" customHeight="1" x14ac:dyDescent="0.85">
      <c r="A94" s="114" t="s">
        <v>262</v>
      </c>
      <c r="B94" s="127">
        <f>CNT!N243</f>
        <v>3523.46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7">
        <f t="shared" si="32"/>
        <v>3523.46</v>
      </c>
      <c r="J94" s="128">
        <f t="shared" si="33"/>
        <v>4.4625019122737529E-3</v>
      </c>
      <c r="K94" s="128"/>
      <c r="L94" s="115" t="s">
        <v>262</v>
      </c>
      <c r="M94" s="127">
        <v>10654.86</v>
      </c>
      <c r="N94" s="127">
        <v>0</v>
      </c>
      <c r="O94" s="127">
        <v>0</v>
      </c>
      <c r="P94" s="127">
        <v>0</v>
      </c>
      <c r="Q94" s="127">
        <v>0</v>
      </c>
      <c r="R94" s="127">
        <v>0</v>
      </c>
      <c r="S94" s="127">
        <v>0</v>
      </c>
      <c r="T94" s="127">
        <f>SUM(M94:S94)</f>
        <v>10654.86</v>
      </c>
      <c r="U94" s="129">
        <f t="shared" si="34"/>
        <v>1.4824646407710713E-2</v>
      </c>
      <c r="V94" s="115" t="s">
        <v>262</v>
      </c>
      <c r="W94" s="129"/>
      <c r="X94" s="130">
        <f t="shared" si="37"/>
        <v>3523.46</v>
      </c>
      <c r="Y94" s="129"/>
      <c r="Z94" s="130">
        <f t="shared" si="38"/>
        <v>10654.86</v>
      </c>
      <c r="AA94" s="129"/>
      <c r="AB94" s="130">
        <f t="shared" si="35"/>
        <v>-7131.4000000000005</v>
      </c>
      <c r="AC94" s="130"/>
      <c r="AD94" s="142">
        <v>0</v>
      </c>
      <c r="AE94" s="130"/>
      <c r="AF94" s="129">
        <f>AD94-1</f>
        <v>-1</v>
      </c>
    </row>
    <row r="95" spans="1:32" s="54" customFormat="1" ht="54.95" customHeight="1" x14ac:dyDescent="0.85">
      <c r="A95" s="114" t="s">
        <v>263</v>
      </c>
      <c r="B95" s="127">
        <f>CNT!N244</f>
        <v>16876.920000000002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7">
        <f t="shared" si="32"/>
        <v>16876.920000000002</v>
      </c>
      <c r="J95" s="128">
        <f t="shared" si="33"/>
        <v>2.1374809923566933E-2</v>
      </c>
      <c r="K95" s="128"/>
      <c r="L95" s="115" t="s">
        <v>263</v>
      </c>
      <c r="M95" s="127">
        <v>0</v>
      </c>
      <c r="N95" s="127">
        <v>0</v>
      </c>
      <c r="O95" s="127">
        <v>0</v>
      </c>
      <c r="P95" s="127">
        <v>0</v>
      </c>
      <c r="Q95" s="127">
        <v>0</v>
      </c>
      <c r="R95" s="127">
        <v>0</v>
      </c>
      <c r="S95" s="127">
        <v>0</v>
      </c>
      <c r="T95" s="127">
        <f>SUM(M95:S95)</f>
        <v>0</v>
      </c>
      <c r="U95" s="129">
        <f t="shared" si="34"/>
        <v>0</v>
      </c>
      <c r="V95" s="115" t="s">
        <v>263</v>
      </c>
      <c r="W95" s="129"/>
      <c r="X95" s="130">
        <f t="shared" si="37"/>
        <v>16876.920000000002</v>
      </c>
      <c r="Y95" s="129"/>
      <c r="Z95" s="130">
        <f t="shared" si="38"/>
        <v>0</v>
      </c>
      <c r="AA95" s="129"/>
      <c r="AB95" s="130">
        <f>I95-T95</f>
        <v>16876.920000000002</v>
      </c>
      <c r="AC95" s="130"/>
      <c r="AD95" s="131">
        <v>0</v>
      </c>
      <c r="AE95" s="130"/>
      <c r="AF95" s="143">
        <v>0</v>
      </c>
    </row>
    <row r="96" spans="1:32" s="54" customFormat="1" ht="54.95" customHeight="1" x14ac:dyDescent="0.85">
      <c r="A96" s="125" t="s">
        <v>265</v>
      </c>
      <c r="B96" s="132">
        <f>SUM(B77:B95)</f>
        <v>607208.79999999993</v>
      </c>
      <c r="C96" s="132">
        <f t="shared" ref="C96:H96" si="39">SUM(C77:C95)</f>
        <v>59087.51</v>
      </c>
      <c r="D96" s="132">
        <f t="shared" si="39"/>
        <v>70317.97</v>
      </c>
      <c r="E96" s="132">
        <f t="shared" si="39"/>
        <v>10185.540000000001</v>
      </c>
      <c r="F96" s="132">
        <f>SUM(F77:F95)</f>
        <v>39763.200000000004</v>
      </c>
      <c r="G96" s="132">
        <f t="shared" si="39"/>
        <v>2385</v>
      </c>
      <c r="H96" s="132">
        <f t="shared" si="39"/>
        <v>622.5100000000001</v>
      </c>
      <c r="I96" s="132">
        <f t="shared" si="32"/>
        <v>789570.52999999991</v>
      </c>
      <c r="J96" s="133">
        <f>SUM(J77:J95)</f>
        <v>1.0000000000000002</v>
      </c>
      <c r="K96" s="134"/>
      <c r="L96" s="126" t="s">
        <v>265</v>
      </c>
      <c r="M96" s="132">
        <f t="shared" ref="M96:S96" si="40">SUM(M77:M95)</f>
        <v>534244.44999999995</v>
      </c>
      <c r="N96" s="132">
        <f t="shared" si="40"/>
        <v>53198.100000000006</v>
      </c>
      <c r="O96" s="132">
        <f t="shared" si="40"/>
        <v>67822.720000000001</v>
      </c>
      <c r="P96" s="132">
        <f t="shared" si="40"/>
        <v>4260.7299999999996</v>
      </c>
      <c r="Q96" s="132">
        <f t="shared" si="40"/>
        <v>42910.070000000007</v>
      </c>
      <c r="R96" s="132">
        <f t="shared" si="40"/>
        <v>13874</v>
      </c>
      <c r="S96" s="132">
        <f t="shared" si="40"/>
        <v>2416.0100000000002</v>
      </c>
      <c r="T96" s="132">
        <f>SUM(M96:S96)</f>
        <v>718726.07999999984</v>
      </c>
      <c r="U96" s="135">
        <f>SUM(U77:U95)</f>
        <v>1.0000000000000002</v>
      </c>
      <c r="V96" s="126" t="s">
        <v>265</v>
      </c>
      <c r="W96" s="136"/>
      <c r="X96" s="137">
        <f t="shared" si="37"/>
        <v>789570.52999999991</v>
      </c>
      <c r="Y96" s="136"/>
      <c r="Z96" s="137">
        <f t="shared" si="38"/>
        <v>718726.07999999984</v>
      </c>
      <c r="AA96" s="136"/>
      <c r="AB96" s="137">
        <f>I96-T96</f>
        <v>70844.45000000007</v>
      </c>
      <c r="AC96" s="137"/>
      <c r="AD96" s="144">
        <f>I96/T96</f>
        <v>1.0985694716963661</v>
      </c>
      <c r="AE96" s="137"/>
      <c r="AF96" s="135">
        <f>AD96-1</f>
        <v>9.8569471696366096E-2</v>
      </c>
    </row>
    <row r="97" spans="1:33" s="54" customFormat="1" ht="54.95" customHeight="1" x14ac:dyDescent="0.85">
      <c r="A97" s="114"/>
      <c r="B97" s="127"/>
      <c r="C97" s="127"/>
      <c r="D97" s="127"/>
      <c r="E97" s="127"/>
      <c r="F97" s="127"/>
      <c r="G97" s="127"/>
      <c r="H97" s="127"/>
      <c r="I97" s="127">
        <f t="shared" si="32"/>
        <v>0</v>
      </c>
      <c r="J97" s="115"/>
      <c r="K97" s="115"/>
      <c r="L97" s="115"/>
      <c r="M97" s="127"/>
      <c r="N97" s="127"/>
      <c r="O97" s="127"/>
      <c r="P97" s="127"/>
      <c r="Q97" s="127"/>
      <c r="R97" s="127"/>
      <c r="S97" s="127"/>
      <c r="T97" s="127">
        <f>SUM(M97:S97)</f>
        <v>0</v>
      </c>
      <c r="U97" s="114"/>
      <c r="V97" s="115"/>
      <c r="W97" s="114"/>
      <c r="X97" s="130"/>
      <c r="Y97" s="114"/>
      <c r="Z97" s="130">
        <f t="shared" si="38"/>
        <v>0</v>
      </c>
      <c r="AA97" s="114"/>
      <c r="AB97" s="130"/>
      <c r="AC97" s="130"/>
      <c r="AD97" s="138"/>
      <c r="AE97" s="130"/>
      <c r="AF97" s="129"/>
    </row>
    <row r="98" spans="1:33" s="54" customFormat="1" ht="54.95" customHeight="1" thickBot="1" x14ac:dyDescent="0.9">
      <c r="A98" s="125" t="s">
        <v>266</v>
      </c>
      <c r="B98" s="139">
        <f t="shared" ref="B98:F98" si="41">B49+B74+B96</f>
        <v>5445805.2199999997</v>
      </c>
      <c r="C98" s="139">
        <f t="shared" si="41"/>
        <v>69886.91</v>
      </c>
      <c r="D98" s="139">
        <f t="shared" si="41"/>
        <v>935085.87000000011</v>
      </c>
      <c r="E98" s="139">
        <f t="shared" si="41"/>
        <v>10294.540000000001</v>
      </c>
      <c r="F98" s="139">
        <f t="shared" si="41"/>
        <v>522658.07</v>
      </c>
      <c r="G98" s="139">
        <f>G49+G74+G96</f>
        <v>76915.160000000018</v>
      </c>
      <c r="H98" s="139">
        <f>H49+H74+H96</f>
        <v>118710.15</v>
      </c>
      <c r="I98" s="139">
        <f t="shared" si="32"/>
        <v>7179355.9200000009</v>
      </c>
      <c r="J98" s="127">
        <f>SUM(I40:I48)+SUM(I52:I73)+SUM(I77:I95)-I98</f>
        <v>0</v>
      </c>
      <c r="K98" s="115"/>
      <c r="L98" s="126" t="s">
        <v>266</v>
      </c>
      <c r="M98" s="139">
        <f t="shared" ref="M98:S98" si="42">M49+M74+M96</f>
        <v>4993248.6800000006</v>
      </c>
      <c r="N98" s="139">
        <f t="shared" si="42"/>
        <v>68466.710000000006</v>
      </c>
      <c r="O98" s="139">
        <f t="shared" si="42"/>
        <v>689296.73</v>
      </c>
      <c r="P98" s="139">
        <f t="shared" si="42"/>
        <v>4260.7299999999996</v>
      </c>
      <c r="Q98" s="139">
        <f t="shared" si="42"/>
        <v>557988.39000000013</v>
      </c>
      <c r="R98" s="139">
        <f>R49+R74+R96</f>
        <v>47924.04</v>
      </c>
      <c r="S98" s="139">
        <f t="shared" si="42"/>
        <v>2936.01</v>
      </c>
      <c r="T98" s="139">
        <f>SUM(M98:S98)</f>
        <v>6364121.2900000019</v>
      </c>
      <c r="U98" s="130">
        <f>SUM(T40:T48)+SUM(T52:T73)+SUM(T77:T95)-T98</f>
        <v>0</v>
      </c>
      <c r="V98" s="126" t="s">
        <v>266</v>
      </c>
      <c r="W98" s="114"/>
      <c r="X98" s="140">
        <f t="shared" si="37"/>
        <v>7179355.9200000009</v>
      </c>
      <c r="Y98" s="114"/>
      <c r="Z98" s="140">
        <f t="shared" si="38"/>
        <v>6364121.2900000019</v>
      </c>
      <c r="AA98" s="114"/>
      <c r="AB98" s="140">
        <f>I98-T98</f>
        <v>815234.62999999896</v>
      </c>
      <c r="AC98" s="140"/>
      <c r="AD98" s="145">
        <f>I98/T98</f>
        <v>1.1280985375437429</v>
      </c>
      <c r="AE98" s="140"/>
      <c r="AF98" s="141">
        <v>0</v>
      </c>
    </row>
    <row r="99" spans="1:33" s="54" customFormat="1" ht="54.95" customHeight="1" x14ac:dyDescent="0.85">
      <c r="A99" s="114"/>
      <c r="B99" s="127"/>
      <c r="C99" s="127"/>
      <c r="D99" s="127"/>
      <c r="E99" s="127"/>
      <c r="F99" s="127"/>
      <c r="G99" s="127"/>
      <c r="H99" s="127"/>
      <c r="I99" s="127"/>
      <c r="J99" s="115"/>
      <c r="K99" s="115"/>
      <c r="L99" s="115"/>
      <c r="M99" s="127"/>
      <c r="N99" s="127"/>
      <c r="O99" s="127"/>
      <c r="P99" s="127"/>
      <c r="Q99" s="127"/>
      <c r="R99" s="127"/>
      <c r="S99" s="127"/>
      <c r="T99" s="127"/>
      <c r="U99" s="114"/>
      <c r="V99" s="115"/>
      <c r="W99" s="114"/>
      <c r="X99" s="116"/>
      <c r="Y99" s="114"/>
      <c r="Z99" s="116">
        <f t="shared" si="38"/>
        <v>0</v>
      </c>
      <c r="AA99" s="114"/>
      <c r="AB99" s="116"/>
      <c r="AC99" s="116"/>
      <c r="AD99" s="138"/>
      <c r="AE99" s="116"/>
      <c r="AF99" s="138"/>
    </row>
    <row r="100" spans="1:33" s="54" customFormat="1" ht="54.95" customHeight="1" x14ac:dyDescent="0.85">
      <c r="A100" s="125" t="s">
        <v>276</v>
      </c>
      <c r="B100" s="127"/>
      <c r="C100" s="127"/>
      <c r="D100" s="127"/>
      <c r="E100" s="127"/>
      <c r="F100" s="127"/>
      <c r="G100" s="127"/>
      <c r="H100" s="127"/>
      <c r="I100" s="127"/>
      <c r="J100" s="115"/>
      <c r="K100" s="115"/>
      <c r="L100" s="126" t="s">
        <v>276</v>
      </c>
      <c r="M100" s="127"/>
      <c r="N100" s="127"/>
      <c r="O100" s="127"/>
      <c r="P100" s="127"/>
      <c r="Q100" s="127"/>
      <c r="R100" s="127"/>
      <c r="S100" s="127"/>
      <c r="T100" s="127"/>
      <c r="U100" s="114"/>
      <c r="V100" s="126" t="s">
        <v>276</v>
      </c>
      <c r="W100" s="114"/>
      <c r="X100" s="116"/>
      <c r="Y100" s="114"/>
      <c r="Z100" s="116">
        <f t="shared" si="38"/>
        <v>0</v>
      </c>
      <c r="AA100" s="114"/>
      <c r="AB100" s="116"/>
      <c r="AC100" s="116"/>
      <c r="AD100" s="117"/>
      <c r="AE100" s="117"/>
      <c r="AF100" s="117"/>
      <c r="AG100" s="58"/>
    </row>
    <row r="101" spans="1:33" s="54" customFormat="1" ht="54.95" customHeight="1" x14ac:dyDescent="0.85">
      <c r="A101" s="114" t="s">
        <v>269</v>
      </c>
      <c r="B101" s="127">
        <f>CNT!N258</f>
        <v>100000</v>
      </c>
      <c r="C101" s="127">
        <v>0</v>
      </c>
      <c r="D101" s="127">
        <f>DEP!J71</f>
        <v>100000</v>
      </c>
      <c r="E101" s="127">
        <v>0</v>
      </c>
      <c r="F101" s="127">
        <f>'BSC (Dome)'!J75+'BSC (Dome)'!J76</f>
        <v>44000</v>
      </c>
      <c r="G101" s="127">
        <f>'Oliari Co.'!J21+'Oliari Co.'!J22</f>
        <v>141600</v>
      </c>
      <c r="H101" s="127">
        <f>'722 Bedford St'!J22</f>
        <v>50000</v>
      </c>
      <c r="I101" s="127">
        <f t="shared" ref="I101:I116" si="43">SUM(B101:H101)</f>
        <v>435600</v>
      </c>
      <c r="J101" s="128"/>
      <c r="K101" s="128"/>
      <c r="L101" s="115" t="s">
        <v>269</v>
      </c>
      <c r="M101" s="127">
        <v>0</v>
      </c>
      <c r="N101" s="127">
        <v>0</v>
      </c>
      <c r="O101" s="127">
        <v>0</v>
      </c>
      <c r="P101" s="127">
        <v>0</v>
      </c>
      <c r="Q101" s="127">
        <f>30295.89+2200</f>
        <v>32495.89</v>
      </c>
      <c r="R101" s="127">
        <f>8000+323600</f>
        <v>331600</v>
      </c>
      <c r="S101" s="127">
        <v>100000</v>
      </c>
      <c r="T101" s="127">
        <f>SUM(M101:S101)</f>
        <v>464095.89</v>
      </c>
      <c r="U101" s="129"/>
      <c r="V101" s="115" t="s">
        <v>269</v>
      </c>
      <c r="W101" s="129"/>
      <c r="X101" s="130">
        <f t="shared" si="37"/>
        <v>435600</v>
      </c>
      <c r="Y101" s="129"/>
      <c r="Z101" s="130">
        <f t="shared" si="38"/>
        <v>464095.89</v>
      </c>
      <c r="AA101" s="129"/>
      <c r="AB101" s="130">
        <f>I101-T101</f>
        <v>-28495.890000000014</v>
      </c>
      <c r="AC101" s="130"/>
      <c r="AD101" s="117"/>
      <c r="AE101" s="117"/>
      <c r="AF101" s="117"/>
      <c r="AG101" s="58"/>
    </row>
    <row r="102" spans="1:33" s="54" customFormat="1" ht="54.95" customHeight="1" x14ac:dyDescent="0.85">
      <c r="A102" s="114" t="s">
        <v>270</v>
      </c>
      <c r="B102" s="127">
        <f>CNT!N259</f>
        <v>278737.5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7">
        <f t="shared" si="43"/>
        <v>278737.5</v>
      </c>
      <c r="J102" s="128"/>
      <c r="K102" s="128"/>
      <c r="L102" s="115" t="s">
        <v>270</v>
      </c>
      <c r="M102" s="127">
        <v>274922.5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f>SUM(M102:S102)</f>
        <v>274922.5</v>
      </c>
      <c r="U102" s="129"/>
      <c r="V102" s="115" t="s">
        <v>270</v>
      </c>
      <c r="W102" s="129"/>
      <c r="X102" s="130">
        <f t="shared" si="37"/>
        <v>278737.5</v>
      </c>
      <c r="Y102" s="129"/>
      <c r="Z102" s="130">
        <f t="shared" si="38"/>
        <v>274922.5</v>
      </c>
      <c r="AA102" s="129"/>
      <c r="AB102" s="130">
        <f t="shared" ref="AB102:AB111" si="44">I102-T102</f>
        <v>3815</v>
      </c>
      <c r="AC102" s="130"/>
      <c r="AD102" s="117"/>
      <c r="AE102" s="117"/>
      <c r="AF102" s="117"/>
      <c r="AG102" s="58"/>
    </row>
    <row r="103" spans="1:33" s="54" customFormat="1" ht="54.95" customHeight="1" x14ac:dyDescent="0.85">
      <c r="A103" s="114" t="s">
        <v>330</v>
      </c>
      <c r="B103" s="127">
        <v>0</v>
      </c>
      <c r="C103" s="127">
        <f>-BPM!J56</f>
        <v>-278737.5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7">
        <f t="shared" si="43"/>
        <v>-278737.5</v>
      </c>
      <c r="J103" s="128"/>
      <c r="K103" s="128"/>
      <c r="L103" s="115" t="s">
        <v>330</v>
      </c>
      <c r="M103" s="127">
        <v>0</v>
      </c>
      <c r="N103" s="127">
        <v>-274922.5</v>
      </c>
      <c r="O103" s="127">
        <v>-5000</v>
      </c>
      <c r="P103" s="127">
        <v>0</v>
      </c>
      <c r="Q103" s="127">
        <v>0</v>
      </c>
      <c r="R103" s="127">
        <v>0</v>
      </c>
      <c r="S103" s="127">
        <v>0</v>
      </c>
      <c r="T103" s="127">
        <f>SUM(M103:S103)</f>
        <v>-279922.5</v>
      </c>
      <c r="U103" s="129"/>
      <c r="V103" s="115" t="s">
        <v>330</v>
      </c>
      <c r="W103" s="129"/>
      <c r="X103" s="130">
        <f t="shared" si="37"/>
        <v>-278737.5</v>
      </c>
      <c r="Y103" s="129"/>
      <c r="Z103" s="130">
        <f t="shared" si="38"/>
        <v>-279922.5</v>
      </c>
      <c r="AA103" s="129"/>
      <c r="AB103" s="130">
        <f t="shared" si="44"/>
        <v>1185</v>
      </c>
      <c r="AC103" s="130"/>
      <c r="AD103" s="117"/>
      <c r="AE103" s="117"/>
      <c r="AF103" s="117"/>
      <c r="AG103" s="58"/>
    </row>
    <row r="104" spans="1:33" s="54" customFormat="1" ht="54.95" customHeight="1" x14ac:dyDescent="0.85">
      <c r="A104" s="114" t="s">
        <v>392</v>
      </c>
      <c r="B104" s="127">
        <f>CNT!N260</f>
        <v>45870.66</v>
      </c>
      <c r="C104" s="127">
        <f>-BPM!J57</f>
        <v>-45870.66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7">
        <f t="shared" si="43"/>
        <v>0</v>
      </c>
      <c r="J104" s="128"/>
      <c r="K104" s="128"/>
      <c r="L104" s="115" t="s">
        <v>392</v>
      </c>
      <c r="M104" s="127">
        <v>0</v>
      </c>
      <c r="N104" s="127">
        <v>0</v>
      </c>
      <c r="O104" s="127">
        <v>0</v>
      </c>
      <c r="P104" s="127">
        <v>0</v>
      </c>
      <c r="Q104" s="127">
        <v>0</v>
      </c>
      <c r="R104" s="127">
        <v>0</v>
      </c>
      <c r="S104" s="127">
        <v>0</v>
      </c>
      <c r="T104" s="127">
        <v>0</v>
      </c>
      <c r="U104" s="129"/>
      <c r="V104" s="115" t="s">
        <v>392</v>
      </c>
      <c r="W104" s="129"/>
      <c r="X104" s="130">
        <f t="shared" si="37"/>
        <v>0</v>
      </c>
      <c r="Y104" s="129"/>
      <c r="Z104" s="130">
        <f t="shared" si="38"/>
        <v>0</v>
      </c>
      <c r="AA104" s="129"/>
      <c r="AB104" s="130">
        <f t="shared" si="44"/>
        <v>0</v>
      </c>
      <c r="AC104" s="130"/>
      <c r="AD104" s="117"/>
      <c r="AE104" s="117"/>
      <c r="AF104" s="117"/>
      <c r="AG104" s="58"/>
    </row>
    <row r="105" spans="1:33" s="54" customFormat="1" ht="54.95" customHeight="1" x14ac:dyDescent="0.85">
      <c r="A105" s="114" t="s">
        <v>271</v>
      </c>
      <c r="B105" s="127">
        <f>CNT!N261</f>
        <v>138972.24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7">
        <f t="shared" si="43"/>
        <v>138972.24</v>
      </c>
      <c r="J105" s="128"/>
      <c r="K105" s="128"/>
      <c r="L105" s="115" t="s">
        <v>271</v>
      </c>
      <c r="M105" s="127">
        <v>0</v>
      </c>
      <c r="N105" s="127">
        <v>0</v>
      </c>
      <c r="O105" s="127">
        <v>0</v>
      </c>
      <c r="P105" s="127">
        <v>0</v>
      </c>
      <c r="Q105" s="127">
        <v>0</v>
      </c>
      <c r="R105" s="127">
        <v>0</v>
      </c>
      <c r="S105" s="127">
        <v>0</v>
      </c>
      <c r="T105" s="127">
        <f t="shared" ref="T105:T116" si="45">SUM(M105:S105)</f>
        <v>0</v>
      </c>
      <c r="U105" s="129"/>
      <c r="V105" s="115" t="s">
        <v>271</v>
      </c>
      <c r="W105" s="129"/>
      <c r="X105" s="130">
        <f t="shared" si="37"/>
        <v>138972.24</v>
      </c>
      <c r="Y105" s="129"/>
      <c r="Z105" s="130">
        <f t="shared" si="38"/>
        <v>0</v>
      </c>
      <c r="AA105" s="129"/>
      <c r="AB105" s="130">
        <f t="shared" si="44"/>
        <v>138972.24</v>
      </c>
      <c r="AC105" s="130"/>
      <c r="AD105" s="117"/>
      <c r="AE105" s="117"/>
      <c r="AF105" s="117"/>
      <c r="AG105" s="58"/>
    </row>
    <row r="106" spans="1:33" s="54" customFormat="1" ht="54.95" customHeight="1" x14ac:dyDescent="0.85">
      <c r="A106" s="114" t="s">
        <v>272</v>
      </c>
      <c r="B106" s="127">
        <f>CNT!N262</f>
        <v>153263.76</v>
      </c>
      <c r="C106" s="127">
        <f>-BPM!J58</f>
        <v>8319.7199999999993</v>
      </c>
      <c r="D106" s="127">
        <f>DEP!J72</f>
        <v>21213.279999999999</v>
      </c>
      <c r="E106" s="127">
        <f>Lending!J16</f>
        <v>35765.839999999997</v>
      </c>
      <c r="F106" s="127">
        <v>0</v>
      </c>
      <c r="G106" s="127">
        <f>'Oliari Co.'!J24</f>
        <v>29030.600000000002</v>
      </c>
      <c r="H106" s="127">
        <v>0</v>
      </c>
      <c r="I106" s="127">
        <f t="shared" si="43"/>
        <v>247593.2</v>
      </c>
      <c r="J106" s="128"/>
      <c r="K106" s="128"/>
      <c r="L106" s="115" t="s">
        <v>272</v>
      </c>
      <c r="M106" s="127">
        <v>168666.49</v>
      </c>
      <c r="N106" s="127">
        <v>0</v>
      </c>
      <c r="O106" s="127">
        <v>0</v>
      </c>
      <c r="P106" s="127">
        <v>79432.66</v>
      </c>
      <c r="Q106" s="127">
        <v>0</v>
      </c>
      <c r="R106" s="127">
        <v>34602.019999999997</v>
      </c>
      <c r="S106" s="127">
        <v>0</v>
      </c>
      <c r="T106" s="127">
        <f t="shared" si="45"/>
        <v>282701.17</v>
      </c>
      <c r="U106" s="129"/>
      <c r="V106" s="115" t="s">
        <v>272</v>
      </c>
      <c r="W106" s="129"/>
      <c r="X106" s="130">
        <f t="shared" si="37"/>
        <v>247593.2</v>
      </c>
      <c r="Y106" s="129"/>
      <c r="Z106" s="130">
        <f t="shared" si="38"/>
        <v>282701.17</v>
      </c>
      <c r="AA106" s="129"/>
      <c r="AB106" s="130">
        <f t="shared" si="44"/>
        <v>-35107.969999999972</v>
      </c>
      <c r="AC106" s="130"/>
      <c r="AD106" s="117"/>
      <c r="AE106" s="117"/>
      <c r="AF106" s="117"/>
      <c r="AG106" s="58"/>
    </row>
    <row r="107" spans="1:33" s="54" customFormat="1" ht="54.95" customHeight="1" x14ac:dyDescent="0.85">
      <c r="A107" s="114" t="s">
        <v>273</v>
      </c>
      <c r="B107" s="127">
        <f>CNT!N263</f>
        <v>-122661.04</v>
      </c>
      <c r="C107" s="127">
        <v>0</v>
      </c>
      <c r="D107" s="127">
        <v>0</v>
      </c>
      <c r="E107" s="127">
        <f>Lending!J17</f>
        <v>-4470.42</v>
      </c>
      <c r="F107" s="127">
        <f>'BSC (Dome)'!J78+'BSC (Dome)'!J79</f>
        <v>-77500.28</v>
      </c>
      <c r="G107" s="127">
        <f>'Oliari Co.'!J25</f>
        <v>-6887.4400000000005</v>
      </c>
      <c r="H107" s="127">
        <v>0</v>
      </c>
      <c r="I107" s="127">
        <f t="shared" si="43"/>
        <v>-211519.18</v>
      </c>
      <c r="J107" s="128"/>
      <c r="K107" s="128"/>
      <c r="L107" s="115" t="s">
        <v>273</v>
      </c>
      <c r="M107" s="127">
        <v>-153421.71</v>
      </c>
      <c r="N107" s="127">
        <v>0</v>
      </c>
      <c r="O107" s="127">
        <v>0</v>
      </c>
      <c r="P107" s="127">
        <v>-11176.97</v>
      </c>
      <c r="Q107" s="127">
        <f>-30713.34-48469.68</f>
        <v>-79183.02</v>
      </c>
      <c r="R107" s="127">
        <f>-16173.41-9500.81-1721.86</f>
        <v>-27396.080000000002</v>
      </c>
      <c r="S107" s="127">
        <v>0</v>
      </c>
      <c r="T107" s="127">
        <f t="shared" si="45"/>
        <v>-271177.78000000003</v>
      </c>
      <c r="U107" s="129"/>
      <c r="V107" s="115" t="s">
        <v>273</v>
      </c>
      <c r="W107" s="129"/>
      <c r="X107" s="130">
        <f t="shared" si="37"/>
        <v>-211519.18</v>
      </c>
      <c r="Y107" s="129"/>
      <c r="Z107" s="130">
        <f t="shared" si="38"/>
        <v>-271177.78000000003</v>
      </c>
      <c r="AA107" s="129"/>
      <c r="AB107" s="130">
        <f t="shared" si="44"/>
        <v>59658.600000000035</v>
      </c>
      <c r="AC107" s="130"/>
      <c r="AD107" s="117"/>
      <c r="AE107" s="117"/>
      <c r="AF107" s="117"/>
      <c r="AG107" s="58"/>
    </row>
    <row r="108" spans="1:33" s="54" customFormat="1" ht="54.95" customHeight="1" x14ac:dyDescent="0.85">
      <c r="A108" s="114" t="s">
        <v>274</v>
      </c>
      <c r="B108" s="127">
        <f>CNT!N264</f>
        <v>49.6</v>
      </c>
      <c r="C108" s="127">
        <v>0</v>
      </c>
      <c r="D108" s="127">
        <v>0</v>
      </c>
      <c r="E108" s="127">
        <v>0</v>
      </c>
      <c r="F108" s="127">
        <f>'BSC (Dome)'!J77</f>
        <v>1833.08</v>
      </c>
      <c r="G108" s="127">
        <f>'Oliari Co.'!J23</f>
        <v>1.01</v>
      </c>
      <c r="H108" s="127">
        <v>0</v>
      </c>
      <c r="I108" s="127">
        <f t="shared" si="43"/>
        <v>1883.6899999999998</v>
      </c>
      <c r="J108" s="128"/>
      <c r="K108" s="128"/>
      <c r="L108" s="115" t="s">
        <v>274</v>
      </c>
      <c r="M108" s="127">
        <v>0</v>
      </c>
      <c r="N108" s="127">
        <v>0</v>
      </c>
      <c r="O108" s="127">
        <v>0</v>
      </c>
      <c r="P108" s="127">
        <v>0</v>
      </c>
      <c r="Q108" s="127">
        <v>0</v>
      </c>
      <c r="R108" s="127">
        <v>0</v>
      </c>
      <c r="S108" s="127">
        <v>0</v>
      </c>
      <c r="T108" s="127">
        <f t="shared" si="45"/>
        <v>0</v>
      </c>
      <c r="U108" s="129"/>
      <c r="V108" s="115" t="s">
        <v>274</v>
      </c>
      <c r="W108" s="129"/>
      <c r="X108" s="130">
        <f t="shared" si="37"/>
        <v>1883.6899999999998</v>
      </c>
      <c r="Y108" s="129"/>
      <c r="Z108" s="130">
        <f t="shared" si="38"/>
        <v>0</v>
      </c>
      <c r="AA108" s="129"/>
      <c r="AB108" s="130">
        <f t="shared" si="44"/>
        <v>1883.6899999999998</v>
      </c>
      <c r="AC108" s="130"/>
      <c r="AD108" s="117"/>
      <c r="AE108" s="117"/>
      <c r="AF108" s="117"/>
      <c r="AG108" s="58"/>
    </row>
    <row r="109" spans="1:33" s="54" customFormat="1" ht="54.95" customHeight="1" x14ac:dyDescent="0.85">
      <c r="A109" s="114" t="s">
        <v>407</v>
      </c>
      <c r="B109" s="127">
        <f>CNT!N265</f>
        <v>16193.33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7">
        <f t="shared" si="43"/>
        <v>16193.33</v>
      </c>
      <c r="J109" s="128"/>
      <c r="K109" s="128"/>
      <c r="L109" s="114" t="s">
        <v>407</v>
      </c>
      <c r="M109" s="127">
        <v>0</v>
      </c>
      <c r="N109" s="127">
        <v>0</v>
      </c>
      <c r="O109" s="127">
        <v>0</v>
      </c>
      <c r="P109" s="127">
        <v>0</v>
      </c>
      <c r="Q109" s="127">
        <v>0</v>
      </c>
      <c r="R109" s="127">
        <v>0</v>
      </c>
      <c r="S109" s="127">
        <v>0</v>
      </c>
      <c r="T109" s="127">
        <f t="shared" si="45"/>
        <v>0</v>
      </c>
      <c r="U109" s="129"/>
      <c r="V109" s="114" t="s">
        <v>407</v>
      </c>
      <c r="W109" s="129"/>
      <c r="X109" s="130">
        <f t="shared" si="37"/>
        <v>16193.33</v>
      </c>
      <c r="Y109" s="129"/>
      <c r="Z109" s="130">
        <f t="shared" si="38"/>
        <v>0</v>
      </c>
      <c r="AA109" s="129"/>
      <c r="AB109" s="130">
        <f t="shared" si="44"/>
        <v>16193.33</v>
      </c>
      <c r="AC109" s="130"/>
      <c r="AD109" s="117"/>
      <c r="AE109" s="117"/>
      <c r="AF109" s="117"/>
      <c r="AG109" s="58"/>
    </row>
    <row r="110" spans="1:33" s="54" customFormat="1" ht="54.95" customHeight="1" x14ac:dyDescent="0.85">
      <c r="A110" s="114" t="s">
        <v>450</v>
      </c>
      <c r="B110" s="127">
        <f>CNT!N266</f>
        <v>3656.73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127">
        <f t="shared" si="43"/>
        <v>3656.73</v>
      </c>
      <c r="J110" s="128"/>
      <c r="K110" s="128"/>
      <c r="L110" s="114" t="s">
        <v>450</v>
      </c>
      <c r="M110" s="127">
        <v>0</v>
      </c>
      <c r="N110" s="127">
        <v>0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f t="shared" si="45"/>
        <v>0</v>
      </c>
      <c r="U110" s="129"/>
      <c r="V110" s="114" t="s">
        <v>450</v>
      </c>
      <c r="W110" s="129"/>
      <c r="X110" s="130"/>
      <c r="Y110" s="129"/>
      <c r="Z110" s="130">
        <f t="shared" si="38"/>
        <v>0</v>
      </c>
      <c r="AA110" s="129"/>
      <c r="AB110" s="130">
        <f t="shared" si="44"/>
        <v>3656.73</v>
      </c>
      <c r="AC110" s="130"/>
      <c r="AD110" s="117"/>
      <c r="AE110" s="117"/>
      <c r="AF110" s="117"/>
      <c r="AG110" s="58"/>
    </row>
    <row r="111" spans="1:33" s="54" customFormat="1" ht="54.95" customHeight="1" x14ac:dyDescent="0.85">
      <c r="A111" s="114" t="s">
        <v>451</v>
      </c>
      <c r="B111" s="127">
        <f>CNT!N268</f>
        <v>17304.629999999997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127">
        <f t="shared" si="43"/>
        <v>17304.629999999997</v>
      </c>
      <c r="J111" s="128"/>
      <c r="K111" s="128"/>
      <c r="L111" s="114" t="s">
        <v>451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7">
        <v>0</v>
      </c>
      <c r="T111" s="127">
        <f t="shared" si="45"/>
        <v>0</v>
      </c>
      <c r="U111" s="129"/>
      <c r="V111" s="114" t="s">
        <v>451</v>
      </c>
      <c r="W111" s="129"/>
      <c r="X111" s="130"/>
      <c r="Y111" s="129"/>
      <c r="Z111" s="130">
        <f t="shared" si="38"/>
        <v>0</v>
      </c>
      <c r="AA111" s="129"/>
      <c r="AB111" s="130">
        <f t="shared" si="44"/>
        <v>17304.629999999997</v>
      </c>
      <c r="AC111" s="130"/>
      <c r="AD111" s="117"/>
      <c r="AE111" s="117"/>
      <c r="AF111" s="117"/>
      <c r="AG111" s="58"/>
    </row>
    <row r="112" spans="1:33" s="54" customFormat="1" ht="54.95" customHeight="1" x14ac:dyDescent="0.85">
      <c r="A112" s="114" t="s">
        <v>409</v>
      </c>
      <c r="B112" s="127">
        <f>CNT!N267</f>
        <v>20298.79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7">
        <f t="shared" si="43"/>
        <v>20298.79</v>
      </c>
      <c r="J112" s="128"/>
      <c r="K112" s="128"/>
      <c r="L112" s="114" t="s">
        <v>409</v>
      </c>
      <c r="M112" s="127">
        <v>0</v>
      </c>
      <c r="N112" s="127">
        <v>0</v>
      </c>
      <c r="O112" s="127">
        <v>0</v>
      </c>
      <c r="P112" s="127">
        <v>0</v>
      </c>
      <c r="Q112" s="127">
        <v>0</v>
      </c>
      <c r="R112" s="127">
        <v>0</v>
      </c>
      <c r="S112" s="127">
        <v>0</v>
      </c>
      <c r="T112" s="127">
        <v>0</v>
      </c>
      <c r="U112" s="129"/>
      <c r="V112" s="114" t="s">
        <v>409</v>
      </c>
      <c r="W112" s="129"/>
      <c r="X112" s="130">
        <f t="shared" si="37"/>
        <v>20298.79</v>
      </c>
      <c r="Y112" s="129"/>
      <c r="Z112" s="130">
        <f t="shared" si="38"/>
        <v>0</v>
      </c>
      <c r="AA112" s="129"/>
      <c r="AB112" s="130"/>
      <c r="AC112" s="130"/>
      <c r="AD112" s="117"/>
      <c r="AE112" s="117"/>
      <c r="AF112" s="117"/>
      <c r="AG112" s="58"/>
    </row>
    <row r="113" spans="1:33" s="54" customFormat="1" ht="54.95" customHeight="1" x14ac:dyDescent="0.85">
      <c r="A113" s="114" t="s">
        <v>462</v>
      </c>
      <c r="B113" s="127">
        <f>CNT!N269</f>
        <v>3098.28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7">
        <f t="shared" si="43"/>
        <v>3098.28</v>
      </c>
      <c r="J113" s="128"/>
      <c r="K113" s="128"/>
      <c r="L113" s="114" t="s">
        <v>462</v>
      </c>
      <c r="M113" s="127">
        <v>0</v>
      </c>
      <c r="N113" s="127">
        <v>0</v>
      </c>
      <c r="O113" s="127">
        <v>0</v>
      </c>
      <c r="P113" s="127">
        <v>0</v>
      </c>
      <c r="Q113" s="127">
        <v>0</v>
      </c>
      <c r="R113" s="127">
        <v>0</v>
      </c>
      <c r="S113" s="127">
        <v>0</v>
      </c>
      <c r="T113" s="127">
        <v>0</v>
      </c>
      <c r="U113" s="129"/>
      <c r="V113" s="114" t="s">
        <v>462</v>
      </c>
      <c r="W113" s="129"/>
      <c r="X113" s="130"/>
      <c r="Y113" s="129"/>
      <c r="Z113" s="130">
        <f t="shared" si="38"/>
        <v>0</v>
      </c>
      <c r="AA113" s="129"/>
      <c r="AB113" s="130"/>
      <c r="AC113" s="130"/>
      <c r="AD113" s="117"/>
      <c r="AE113" s="117"/>
      <c r="AF113" s="117"/>
      <c r="AG113" s="58"/>
    </row>
    <row r="114" spans="1:33" s="54" customFormat="1" ht="54.95" customHeight="1" x14ac:dyDescent="0.85">
      <c r="A114" s="125" t="s">
        <v>275</v>
      </c>
      <c r="B114" s="132">
        <f t="shared" ref="B114:I114" si="46">SUM(B101:B113)</f>
        <v>654784.48</v>
      </c>
      <c r="C114" s="132">
        <f t="shared" si="46"/>
        <v>-316288.44000000006</v>
      </c>
      <c r="D114" s="132">
        <f t="shared" si="46"/>
        <v>121213.28</v>
      </c>
      <c r="E114" s="132">
        <f t="shared" si="46"/>
        <v>31295.42</v>
      </c>
      <c r="F114" s="132">
        <f t="shared" si="46"/>
        <v>-31667.199999999997</v>
      </c>
      <c r="G114" s="132">
        <f t="shared" si="46"/>
        <v>163744.17000000001</v>
      </c>
      <c r="H114" s="132">
        <f t="shared" si="46"/>
        <v>50000</v>
      </c>
      <c r="I114" s="132">
        <f t="shared" si="46"/>
        <v>673081.71</v>
      </c>
      <c r="J114" s="146">
        <f>SUM(I101:I113)-I114</f>
        <v>0</v>
      </c>
      <c r="K114" s="128"/>
      <c r="L114" s="126" t="s">
        <v>275</v>
      </c>
      <c r="M114" s="132">
        <f>SUM(M101:M113)</f>
        <v>290167.28000000003</v>
      </c>
      <c r="N114" s="132">
        <f>SUM(N101:N108)</f>
        <v>-274922.5</v>
      </c>
      <c r="O114" s="132">
        <f>SUM(O101:O108)</f>
        <v>-5000</v>
      </c>
      <c r="P114" s="132">
        <f>SUM(P101:P113)</f>
        <v>68255.69</v>
      </c>
      <c r="Q114" s="132">
        <f>SUM(Q101:Q113)</f>
        <v>-46687.130000000005</v>
      </c>
      <c r="R114" s="132">
        <f>SUM(R101:R113)</f>
        <v>338805.94</v>
      </c>
      <c r="S114" s="132">
        <f>SUM(S101:S113)</f>
        <v>100000</v>
      </c>
      <c r="T114" s="132">
        <f>SUM(M114:S114)</f>
        <v>470619.28</v>
      </c>
      <c r="U114" s="142">
        <f>SUM(T101:T112)-T114</f>
        <v>0</v>
      </c>
      <c r="V114" s="126" t="s">
        <v>275</v>
      </c>
      <c r="W114" s="129"/>
      <c r="X114" s="137">
        <f t="shared" si="37"/>
        <v>673081.71</v>
      </c>
      <c r="Y114" s="129"/>
      <c r="Z114" s="137">
        <f t="shared" si="38"/>
        <v>470619.28</v>
      </c>
      <c r="AA114" s="129"/>
      <c r="AB114" s="137">
        <f>I114-T114</f>
        <v>202462.42999999993</v>
      </c>
      <c r="AC114" s="137"/>
      <c r="AD114" s="117"/>
      <c r="AE114" s="117"/>
      <c r="AF114" s="117"/>
      <c r="AG114" s="58"/>
    </row>
    <row r="115" spans="1:33" s="54" customFormat="1" ht="54.95" customHeight="1" x14ac:dyDescent="0.85">
      <c r="A115" s="125"/>
      <c r="B115" s="127"/>
      <c r="C115" s="127"/>
      <c r="D115" s="127"/>
      <c r="E115" s="127"/>
      <c r="F115" s="127"/>
      <c r="G115" s="127"/>
      <c r="H115" s="127"/>
      <c r="I115" s="127">
        <f t="shared" si="43"/>
        <v>0</v>
      </c>
      <c r="J115" s="128"/>
      <c r="K115" s="128"/>
      <c r="L115" s="126"/>
      <c r="M115" s="127"/>
      <c r="N115" s="127"/>
      <c r="O115" s="127"/>
      <c r="P115" s="127"/>
      <c r="Q115" s="127"/>
      <c r="R115" s="127"/>
      <c r="S115" s="127"/>
      <c r="T115" s="127">
        <f t="shared" si="45"/>
        <v>0</v>
      </c>
      <c r="U115" s="129"/>
      <c r="V115" s="126"/>
      <c r="W115" s="129"/>
      <c r="X115" s="130"/>
      <c r="Y115" s="129"/>
      <c r="Z115" s="130">
        <f t="shared" si="38"/>
        <v>0</v>
      </c>
      <c r="AA115" s="129"/>
      <c r="AB115" s="130"/>
      <c r="AC115" s="130"/>
      <c r="AD115" s="117"/>
      <c r="AE115" s="117"/>
      <c r="AF115" s="117"/>
      <c r="AG115" s="58"/>
    </row>
    <row r="116" spans="1:33" s="54" customFormat="1" ht="54.95" customHeight="1" thickBot="1" x14ac:dyDescent="0.9">
      <c r="A116" s="125" t="s">
        <v>268</v>
      </c>
      <c r="B116" s="147">
        <f>B35-B98+B114</f>
        <v>-556000.78999875998</v>
      </c>
      <c r="C116" s="147">
        <f t="shared" ref="C116:H116" si="47">C35-C98+C114</f>
        <v>434544.4300000011</v>
      </c>
      <c r="D116" s="147">
        <f t="shared" si="47"/>
        <v>620279.70999999973</v>
      </c>
      <c r="E116" s="147">
        <f>E35-E98+E114</f>
        <v>21000.879999999997</v>
      </c>
      <c r="F116" s="147">
        <f t="shared" si="47"/>
        <v>-16906.519999999888</v>
      </c>
      <c r="G116" s="147">
        <f>G35-G98+G114</f>
        <v>86829.01</v>
      </c>
      <c r="H116" s="147">
        <f t="shared" si="47"/>
        <v>-68710.149999999994</v>
      </c>
      <c r="I116" s="147">
        <f t="shared" si="43"/>
        <v>521036.57000124094</v>
      </c>
      <c r="J116" s="115"/>
      <c r="K116" s="115"/>
      <c r="L116" s="126" t="s">
        <v>268</v>
      </c>
      <c r="M116" s="147">
        <f t="shared" ref="M116:S116" si="48">M35-M98+M114</f>
        <v>-810682.30000104965</v>
      </c>
      <c r="N116" s="147">
        <f t="shared" si="48"/>
        <v>112155.92000000639</v>
      </c>
      <c r="O116" s="147">
        <f t="shared" si="48"/>
        <v>453821.18000000017</v>
      </c>
      <c r="P116" s="147">
        <f t="shared" si="48"/>
        <v>63994.960000000006</v>
      </c>
      <c r="Q116" s="147">
        <f>Q35-Q98+Q114</f>
        <v>-55447.770000000135</v>
      </c>
      <c r="R116" s="147">
        <f>R35-R98+R114</f>
        <v>290881.90000000002</v>
      </c>
      <c r="S116" s="147">
        <f t="shared" si="48"/>
        <v>97063.99</v>
      </c>
      <c r="T116" s="147">
        <f t="shared" si="45"/>
        <v>151787.87999895687</v>
      </c>
      <c r="U116" s="114"/>
      <c r="V116" s="126" t="s">
        <v>268</v>
      </c>
      <c r="W116" s="114"/>
      <c r="X116" s="148">
        <f t="shared" si="37"/>
        <v>521036.57000124094</v>
      </c>
      <c r="Y116" s="114"/>
      <c r="Z116" s="148">
        <f t="shared" si="38"/>
        <v>151787.87999895687</v>
      </c>
      <c r="AA116" s="114"/>
      <c r="AB116" s="148">
        <f>I116-T116</f>
        <v>369248.69000228407</v>
      </c>
      <c r="AC116" s="149"/>
      <c r="AD116" s="117"/>
      <c r="AE116" s="117"/>
      <c r="AF116" s="117"/>
      <c r="AG116" s="58"/>
    </row>
    <row r="117" spans="1:33" ht="39.950000000000003" customHeight="1" thickTop="1" x14ac:dyDescent="0.85">
      <c r="B117" s="127"/>
      <c r="C117" s="127"/>
      <c r="D117" s="127"/>
      <c r="E117" s="127"/>
      <c r="F117" s="127"/>
      <c r="G117" s="127"/>
      <c r="H117" s="127"/>
      <c r="I117" s="127"/>
      <c r="AE117" s="117"/>
      <c r="AG117" s="40"/>
    </row>
    <row r="118" spans="1:33" ht="39.950000000000003" customHeight="1" x14ac:dyDescent="0.85">
      <c r="AE118" s="117"/>
      <c r="AG118" s="40"/>
    </row>
    <row r="119" spans="1:33" s="54" customFormat="1" ht="39.950000000000003" customHeight="1" x14ac:dyDescent="0.85">
      <c r="A119" s="114" t="s">
        <v>335</v>
      </c>
      <c r="B119" s="155">
        <v>-556000.79000042868</v>
      </c>
      <c r="C119" s="155">
        <v>434544.43</v>
      </c>
      <c r="D119" s="155">
        <v>620279.71</v>
      </c>
      <c r="E119" s="155">
        <v>21000.880000000001</v>
      </c>
      <c r="F119" s="155">
        <v>-16906.52</v>
      </c>
      <c r="G119" s="155">
        <v>86829.01</v>
      </c>
      <c r="H119" s="155">
        <v>-68710.149999999994</v>
      </c>
      <c r="I119" s="127">
        <f>SUM(B119:H119)</f>
        <v>521036.56999957119</v>
      </c>
      <c r="J119" s="128"/>
      <c r="K119" s="128"/>
      <c r="L119" s="115"/>
      <c r="M119" s="127">
        <v>-810682.3</v>
      </c>
      <c r="N119" s="127">
        <v>112155.92</v>
      </c>
      <c r="O119" s="127">
        <v>453821.18</v>
      </c>
      <c r="P119" s="127">
        <v>63994.96</v>
      </c>
      <c r="Q119" s="127">
        <v>-55447.77</v>
      </c>
      <c r="R119" s="127">
        <v>290881.90000000002</v>
      </c>
      <c r="S119" s="127">
        <v>97063.99</v>
      </c>
      <c r="T119" s="127">
        <f>SUM(M119:S119)</f>
        <v>151787.88</v>
      </c>
      <c r="U119" s="129"/>
      <c r="V119" s="115"/>
      <c r="W119" s="129"/>
      <c r="X119" s="130"/>
      <c r="Y119" s="129"/>
      <c r="Z119" s="130"/>
      <c r="AA119" s="129"/>
      <c r="AB119" s="130"/>
      <c r="AC119" s="130"/>
      <c r="AD119" s="117"/>
      <c r="AE119" s="117"/>
      <c r="AF119" s="117"/>
      <c r="AG119" s="58"/>
    </row>
    <row r="120" spans="1:33" s="54" customFormat="1" ht="39.950000000000003" customHeight="1" x14ac:dyDescent="0.85">
      <c r="A120" s="114"/>
      <c r="B120" s="127">
        <f t="shared" ref="B120:I120" si="49">B116-B119</f>
        <v>1.6686972230672836E-6</v>
      </c>
      <c r="C120" s="127">
        <f t="shared" si="49"/>
        <v>1.1059455573558807E-9</v>
      </c>
      <c r="D120" s="127">
        <f t="shared" si="49"/>
        <v>0</v>
      </c>
      <c r="E120" s="127">
        <f t="shared" si="49"/>
        <v>0</v>
      </c>
      <c r="F120" s="127">
        <f t="shared" si="49"/>
        <v>1.127773430198431E-10</v>
      </c>
      <c r="G120" s="127">
        <f t="shared" si="49"/>
        <v>0</v>
      </c>
      <c r="H120" s="127">
        <f t="shared" si="49"/>
        <v>0</v>
      </c>
      <c r="I120" s="127">
        <f t="shared" si="49"/>
        <v>1.669744960963726E-6</v>
      </c>
      <c r="J120" s="128"/>
      <c r="K120" s="128"/>
      <c r="L120" s="115"/>
      <c r="M120" s="127">
        <f>M116-M119</f>
        <v>-1.0496005415916443E-6</v>
      </c>
      <c r="N120" s="127">
        <f t="shared" ref="N120:S120" si="50">N116-N119</f>
        <v>6.3882907852530479E-9</v>
      </c>
      <c r="O120" s="127">
        <f t="shared" si="50"/>
        <v>0</v>
      </c>
      <c r="P120" s="127">
        <f t="shared" si="50"/>
        <v>0</v>
      </c>
      <c r="Q120" s="127">
        <f>Q116-Q119</f>
        <v>-1.3824319466948509E-10</v>
      </c>
      <c r="R120" s="127">
        <f>R116-R119</f>
        <v>0</v>
      </c>
      <c r="S120" s="127">
        <f t="shared" si="50"/>
        <v>0</v>
      </c>
      <c r="T120" s="127">
        <f>T116-T119</f>
        <v>-1.0431394912302494E-6</v>
      </c>
      <c r="U120" s="129"/>
      <c r="V120" s="115"/>
      <c r="W120" s="129"/>
      <c r="X120" s="130"/>
      <c r="Y120" s="129"/>
      <c r="Z120" s="130"/>
      <c r="AA120" s="129"/>
      <c r="AB120" s="130"/>
      <c r="AC120" s="130"/>
      <c r="AD120" s="117"/>
      <c r="AE120" s="117"/>
      <c r="AF120" s="117"/>
      <c r="AG120" s="58"/>
    </row>
    <row r="121" spans="1:33" s="54" customFormat="1" ht="39.950000000000003" customHeight="1" x14ac:dyDescent="0.85">
      <c r="A121" s="114"/>
      <c r="B121" s="127"/>
      <c r="C121" s="127"/>
      <c r="D121" s="127"/>
      <c r="E121" s="127"/>
      <c r="F121" s="127"/>
      <c r="G121" s="127"/>
      <c r="H121" s="127"/>
      <c r="I121" s="127">
        <f>I35-I49-I74-I96+I114-I116</f>
        <v>0</v>
      </c>
      <c r="J121" s="128"/>
      <c r="K121" s="128"/>
      <c r="L121" s="115"/>
      <c r="M121" s="127"/>
      <c r="N121" s="127"/>
      <c r="O121" s="127"/>
      <c r="P121" s="127"/>
      <c r="Q121" s="127"/>
      <c r="R121" s="127"/>
      <c r="S121" s="127"/>
      <c r="T121" s="127">
        <f>T35-T49-T74-T96+T114-T116</f>
        <v>4.0745362639427185E-10</v>
      </c>
      <c r="U121" s="129"/>
      <c r="V121" s="115"/>
      <c r="W121" s="129"/>
      <c r="X121" s="130"/>
      <c r="Y121" s="129"/>
      <c r="Z121" s="130"/>
      <c r="AA121" s="129"/>
      <c r="AB121" s="130"/>
      <c r="AC121" s="130"/>
      <c r="AD121" s="117"/>
      <c r="AE121" s="117"/>
      <c r="AF121" s="117"/>
      <c r="AG121" s="58"/>
    </row>
    <row r="122" spans="1:33" s="54" customFormat="1" ht="48.75" customHeight="1" x14ac:dyDescent="0.85">
      <c r="A122" s="114"/>
      <c r="B122" s="127"/>
      <c r="C122" s="127"/>
      <c r="D122" s="127"/>
      <c r="E122" s="127"/>
      <c r="F122" s="127"/>
      <c r="G122" s="127"/>
      <c r="H122" s="127"/>
      <c r="I122" s="127"/>
      <c r="J122" s="128"/>
      <c r="K122" s="128"/>
      <c r="L122" s="115"/>
      <c r="M122" s="127"/>
      <c r="N122" s="127"/>
      <c r="O122" s="127"/>
      <c r="P122" s="127"/>
      <c r="Q122" s="127"/>
      <c r="R122" s="127" t="s">
        <v>428</v>
      </c>
      <c r="S122" s="127"/>
      <c r="T122" s="127"/>
      <c r="U122" s="129"/>
      <c r="V122" s="115"/>
      <c r="W122" s="129"/>
      <c r="X122" s="130"/>
      <c r="Y122" s="129"/>
      <c r="Z122" s="130"/>
      <c r="AA122" s="129"/>
      <c r="AB122" s="130"/>
      <c r="AC122" s="130"/>
      <c r="AD122" s="117"/>
      <c r="AE122" s="117"/>
      <c r="AF122" s="117"/>
      <c r="AG122" s="58"/>
    </row>
    <row r="123" spans="1:33" s="54" customFormat="1" ht="30" customHeight="1" x14ac:dyDescent="0.85">
      <c r="A123" s="114"/>
      <c r="B123" s="127"/>
      <c r="C123" s="127"/>
      <c r="D123" s="127"/>
      <c r="E123" s="127"/>
      <c r="F123" s="127"/>
      <c r="G123" s="127"/>
      <c r="H123" s="127"/>
      <c r="I123" s="127"/>
      <c r="J123" s="128"/>
      <c r="K123" s="128"/>
      <c r="L123" s="115"/>
      <c r="M123" s="127"/>
      <c r="N123" s="127"/>
      <c r="O123" s="127"/>
      <c r="P123" s="127"/>
      <c r="Q123" s="127"/>
      <c r="R123" s="127" t="s">
        <v>429</v>
      </c>
      <c r="S123" s="127"/>
      <c r="T123" s="127"/>
      <c r="U123" s="129"/>
      <c r="V123" s="115"/>
      <c r="W123" s="129"/>
      <c r="X123" s="130"/>
      <c r="Y123" s="129"/>
      <c r="Z123" s="130"/>
      <c r="AA123" s="129"/>
      <c r="AB123" s="130"/>
      <c r="AC123" s="130"/>
      <c r="AD123" s="117"/>
      <c r="AE123" s="117"/>
      <c r="AF123" s="117"/>
      <c r="AG123" s="58"/>
    </row>
    <row r="124" spans="1:33" s="54" customFormat="1" ht="30" customHeight="1" x14ac:dyDescent="0.85">
      <c r="A124" s="114"/>
      <c r="B124" s="127"/>
      <c r="C124" s="127"/>
      <c r="D124" s="127"/>
      <c r="E124" s="127"/>
      <c r="F124" s="127"/>
      <c r="G124" s="127"/>
      <c r="H124" s="127"/>
      <c r="I124" s="127"/>
      <c r="J124" s="128"/>
      <c r="K124" s="128"/>
      <c r="L124" s="115"/>
      <c r="M124" s="127"/>
      <c r="N124" s="127"/>
      <c r="O124" s="127"/>
      <c r="P124" s="127"/>
      <c r="Q124" s="127"/>
      <c r="R124" s="127" t="s">
        <v>432</v>
      </c>
      <c r="S124" s="127"/>
      <c r="T124" s="127"/>
      <c r="U124" s="129"/>
      <c r="V124" s="115"/>
      <c r="W124" s="129"/>
      <c r="X124" s="130"/>
      <c r="Y124" s="129"/>
      <c r="Z124" s="130"/>
      <c r="AA124" s="129"/>
      <c r="AB124" s="130"/>
      <c r="AC124" s="130"/>
      <c r="AD124" s="117"/>
      <c r="AE124" s="117"/>
      <c r="AF124" s="117"/>
      <c r="AG124" s="58"/>
    </row>
    <row r="125" spans="1:33" s="54" customFormat="1" ht="30" customHeight="1" x14ac:dyDescent="0.85">
      <c r="A125" s="114"/>
      <c r="B125" s="127"/>
      <c r="C125" s="127"/>
      <c r="D125" s="127"/>
      <c r="E125" s="127"/>
      <c r="F125" s="127"/>
      <c r="G125" s="127"/>
      <c r="H125" s="127"/>
      <c r="I125" s="127"/>
      <c r="J125" s="128"/>
      <c r="K125" s="128"/>
      <c r="L125" s="115"/>
      <c r="M125" s="127"/>
      <c r="N125" s="127"/>
      <c r="O125" s="127"/>
      <c r="P125" s="127"/>
      <c r="Q125" s="127"/>
      <c r="R125" s="150">
        <v>11000</v>
      </c>
      <c r="S125" s="127"/>
      <c r="T125" s="127"/>
      <c r="U125" s="129"/>
      <c r="V125" s="115"/>
      <c r="W125" s="129"/>
      <c r="X125" s="130"/>
      <c r="Y125" s="129"/>
      <c r="Z125" s="130"/>
      <c r="AA125" s="129"/>
      <c r="AB125" s="130"/>
      <c r="AC125" s="130"/>
      <c r="AD125" s="117"/>
      <c r="AE125" s="117"/>
      <c r="AF125" s="117"/>
      <c r="AG125" s="58"/>
    </row>
    <row r="126" spans="1:33" s="54" customFormat="1" ht="30" customHeight="1" x14ac:dyDescent="0.85">
      <c r="A126" s="114"/>
      <c r="B126" s="127"/>
      <c r="C126" s="127"/>
      <c r="D126" s="127"/>
      <c r="E126" s="127"/>
      <c r="F126" s="127"/>
      <c r="G126" s="127"/>
      <c r="H126" s="127"/>
      <c r="I126" s="127"/>
      <c r="J126" s="128"/>
      <c r="K126" s="128"/>
      <c r="L126" s="115"/>
      <c r="M126" s="127"/>
      <c r="N126" s="127"/>
      <c r="O126" s="127"/>
      <c r="P126" s="127"/>
      <c r="Q126" s="127"/>
      <c r="R126" s="127" t="s">
        <v>430</v>
      </c>
      <c r="S126" s="127"/>
      <c r="T126" s="127"/>
      <c r="U126" s="129"/>
      <c r="V126" s="115"/>
      <c r="W126" s="129"/>
      <c r="X126" s="130"/>
      <c r="Y126" s="129"/>
      <c r="Z126" s="130"/>
      <c r="AA126" s="129"/>
      <c r="AB126" s="130"/>
      <c r="AC126" s="130"/>
      <c r="AD126" s="117"/>
      <c r="AE126" s="117"/>
      <c r="AF126" s="117"/>
      <c r="AG126" s="58"/>
    </row>
    <row r="127" spans="1:33" s="54" customFormat="1" ht="30" customHeight="1" x14ac:dyDescent="0.85">
      <c r="A127" s="114"/>
      <c r="B127" s="127"/>
      <c r="C127" s="127"/>
      <c r="D127" s="127"/>
      <c r="E127" s="127"/>
      <c r="F127" s="127"/>
      <c r="G127" s="127"/>
      <c r="H127" s="127"/>
      <c r="I127" s="127"/>
      <c r="J127" s="128"/>
      <c r="K127" s="128"/>
      <c r="L127" s="115"/>
      <c r="M127" s="127"/>
      <c r="N127" s="127"/>
      <c r="O127" s="127"/>
      <c r="P127" s="127"/>
      <c r="Q127" s="127"/>
      <c r="R127" s="127" t="s">
        <v>431</v>
      </c>
      <c r="S127" s="127"/>
      <c r="T127" s="127"/>
      <c r="U127" s="129"/>
      <c r="V127" s="115"/>
      <c r="W127" s="129"/>
      <c r="X127" s="130"/>
      <c r="Y127" s="129"/>
      <c r="Z127" s="130"/>
      <c r="AA127" s="129"/>
      <c r="AB127" s="130"/>
      <c r="AC127" s="130"/>
      <c r="AD127" s="117"/>
      <c r="AE127" s="117"/>
      <c r="AF127" s="117"/>
      <c r="AG127" s="58"/>
    </row>
    <row r="128" spans="1:33" s="54" customFormat="1" ht="30" customHeight="1" x14ac:dyDescent="0.85">
      <c r="A128" s="114"/>
      <c r="B128" s="127"/>
      <c r="C128" s="127"/>
      <c r="D128" s="127"/>
      <c r="E128" s="127"/>
      <c r="F128" s="127"/>
      <c r="G128" s="127"/>
      <c r="H128" s="127"/>
      <c r="I128" s="127"/>
      <c r="J128" s="128"/>
      <c r="K128" s="128"/>
      <c r="L128" s="115"/>
      <c r="M128" s="127"/>
      <c r="N128" s="127"/>
      <c r="O128" s="127"/>
      <c r="P128" s="127"/>
      <c r="Q128" s="127"/>
      <c r="R128" s="127"/>
      <c r="S128" s="127"/>
      <c r="T128" s="127"/>
      <c r="U128" s="129"/>
      <c r="V128" s="115"/>
      <c r="W128" s="129"/>
      <c r="X128" s="130"/>
      <c r="Y128" s="129"/>
      <c r="Z128" s="130"/>
      <c r="AA128" s="129"/>
      <c r="AB128" s="130"/>
      <c r="AC128" s="130"/>
      <c r="AD128" s="117"/>
      <c r="AE128" s="117"/>
      <c r="AF128" s="117"/>
      <c r="AG128" s="58"/>
    </row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6" fitToWidth="3" fitToHeight="3" orientation="landscape" r:id="rId1"/>
  <headerFooter>
    <oddFooter>&amp;C&amp;16Page &amp;P of &amp;N</oddFooter>
  </headerFooter>
  <rowBreaks count="2" manualBreakCount="2">
    <brk id="50" max="31" man="1"/>
    <brk id="99" max="31" man="1"/>
  </rowBreaks>
  <colBreaks count="2" manualBreakCount="2">
    <brk id="10" min="4" max="114" man="1"/>
    <brk id="21" min="4" max="1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78"/>
  <sheetViews>
    <sheetView zoomScaleNormal="100" workbookViewId="0">
      <pane ySplit="6" topLeftCell="A58" activePane="bottomLeft" state="frozen"/>
      <selection activeCell="C24" sqref="C24"/>
      <selection pane="bottomLeft" activeCell="J78" sqref="J78"/>
    </sheetView>
  </sheetViews>
  <sheetFormatPr defaultRowHeight="15" x14ac:dyDescent="0.25"/>
  <cols>
    <col min="1" max="1" width="44.42578125" bestFit="1" customWidth="1"/>
    <col min="2" max="2" width="13" style="39" bestFit="1" customWidth="1"/>
    <col min="3" max="3" width="11.5703125" style="39" bestFit="1" customWidth="1"/>
    <col min="4" max="4" width="13.42578125" style="39" bestFit="1" customWidth="1"/>
    <col min="5" max="9" width="13" style="39" bestFit="1" customWidth="1"/>
    <col min="10" max="10" width="13.42578125" style="39" bestFit="1" customWidth="1"/>
    <col min="11" max="11" width="8.85546875" style="39"/>
  </cols>
  <sheetData>
    <row r="1" spans="1:10" x14ac:dyDescent="0.25">
      <c r="A1" s="269" t="s">
        <v>277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x14ac:dyDescent="0.25">
      <c r="A2" s="269" t="s">
        <v>278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x14ac:dyDescent="0.25">
      <c r="A3" s="269">
        <v>2018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5">
      <c r="B6" s="44" t="s">
        <v>305</v>
      </c>
      <c r="C6" s="44" t="s">
        <v>306</v>
      </c>
      <c r="D6" s="44" t="s">
        <v>307</v>
      </c>
      <c r="E6" s="44" t="s">
        <v>308</v>
      </c>
      <c r="F6" s="44" t="s">
        <v>384</v>
      </c>
      <c r="G6" s="44" t="s">
        <v>427</v>
      </c>
      <c r="H6" s="44" t="s">
        <v>452</v>
      </c>
      <c r="I6" s="44" t="s">
        <v>465</v>
      </c>
      <c r="J6" s="44" t="s">
        <v>208</v>
      </c>
    </row>
    <row r="7" spans="1:10" x14ac:dyDescent="0.25">
      <c r="A7" s="38" t="s">
        <v>62</v>
      </c>
    </row>
    <row r="8" spans="1:10" x14ac:dyDescent="0.25">
      <c r="A8" t="s">
        <v>279</v>
      </c>
      <c r="B8" s="39">
        <v>1007.48</v>
      </c>
      <c r="C8" s="39">
        <v>2880.98</v>
      </c>
      <c r="D8" s="39">
        <v>11848.57</v>
      </c>
      <c r="E8" s="39">
        <v>8277.67</v>
      </c>
      <c r="F8" s="39">
        <v>59.53</v>
      </c>
      <c r="G8" s="39">
        <f>1079.75-0.03</f>
        <v>1079.72</v>
      </c>
      <c r="H8" s="39">
        <f>1171.63+9</f>
        <v>1180.6300000000001</v>
      </c>
      <c r="I8" s="39">
        <v>294.82</v>
      </c>
      <c r="J8" s="39">
        <f t="shared" ref="J8:J16" si="0">SUM(B8:I8)</f>
        <v>26629.399999999998</v>
      </c>
    </row>
    <row r="9" spans="1:10" x14ac:dyDescent="0.25">
      <c r="A9" t="s">
        <v>280</v>
      </c>
      <c r="B9" s="39">
        <v>1315</v>
      </c>
      <c r="C9" s="39">
        <v>690</v>
      </c>
      <c r="D9" s="39">
        <v>380</v>
      </c>
      <c r="E9" s="39">
        <v>0</v>
      </c>
      <c r="F9" s="39">
        <v>0</v>
      </c>
      <c r="G9" s="39">
        <v>0</v>
      </c>
      <c r="H9" s="39">
        <v>540</v>
      </c>
      <c r="I9" s="39">
        <v>830</v>
      </c>
      <c r="J9" s="39">
        <f t="shared" si="0"/>
        <v>3755</v>
      </c>
    </row>
    <row r="10" spans="1:10" x14ac:dyDescent="0.25">
      <c r="A10" t="s">
        <v>337</v>
      </c>
      <c r="B10" s="39">
        <v>150</v>
      </c>
      <c r="C10" s="39">
        <v>100</v>
      </c>
      <c r="D10" s="39">
        <v>150</v>
      </c>
      <c r="E10" s="39">
        <v>0</v>
      </c>
      <c r="F10" s="39">
        <v>100</v>
      </c>
      <c r="G10" s="39">
        <v>50</v>
      </c>
      <c r="H10" s="39">
        <v>150</v>
      </c>
      <c r="I10" s="39">
        <v>50</v>
      </c>
      <c r="J10" s="39">
        <f t="shared" si="0"/>
        <v>750</v>
      </c>
    </row>
    <row r="11" spans="1:10" x14ac:dyDescent="0.25">
      <c r="A11" t="s">
        <v>281</v>
      </c>
      <c r="B11" s="39">
        <v>74672.5</v>
      </c>
      <c r="C11" s="39">
        <v>77307.5</v>
      </c>
      <c r="D11" s="39">
        <v>85637.5</v>
      </c>
      <c r="E11" s="39">
        <v>107355</v>
      </c>
      <c r="F11" s="39">
        <v>119340</v>
      </c>
      <c r="G11" s="39">
        <v>128860</v>
      </c>
      <c r="H11" s="39">
        <v>158737.5</v>
      </c>
      <c r="I11" s="39">
        <v>200812.5</v>
      </c>
      <c r="J11" s="39">
        <f t="shared" si="0"/>
        <v>952722.5</v>
      </c>
    </row>
    <row r="12" spans="1:10" x14ac:dyDescent="0.25">
      <c r="A12" t="s">
        <v>309</v>
      </c>
      <c r="B12" s="39">
        <v>29225</v>
      </c>
      <c r="C12" s="39">
        <v>0</v>
      </c>
      <c r="D12" s="39">
        <v>67262</v>
      </c>
      <c r="E12" s="39">
        <v>0</v>
      </c>
      <c r="F12" s="39">
        <v>109042</v>
      </c>
      <c r="G12" s="39">
        <v>21090</v>
      </c>
      <c r="H12" s="39">
        <v>26700</v>
      </c>
      <c r="I12" s="39">
        <v>19838</v>
      </c>
      <c r="J12" s="39">
        <f t="shared" si="0"/>
        <v>273157</v>
      </c>
    </row>
    <row r="13" spans="1:10" x14ac:dyDescent="0.25">
      <c r="A13" t="s">
        <v>282</v>
      </c>
      <c r="B13" s="39">
        <v>3474</v>
      </c>
      <c r="C13" s="39">
        <v>3440.25</v>
      </c>
      <c r="D13" s="39">
        <v>3440.25</v>
      </c>
      <c r="E13" s="39">
        <v>5316.75</v>
      </c>
      <c r="F13" s="39">
        <v>5316.75</v>
      </c>
      <c r="G13" s="39">
        <v>7155.5</v>
      </c>
      <c r="H13" s="39">
        <v>7110.5</v>
      </c>
      <c r="I13" s="39">
        <v>7819.25</v>
      </c>
      <c r="J13" s="96">
        <f t="shared" si="0"/>
        <v>43073.25</v>
      </c>
    </row>
    <row r="14" spans="1:10" x14ac:dyDescent="0.25">
      <c r="A14" t="s">
        <v>435</v>
      </c>
      <c r="B14" s="39">
        <v>39424.43</v>
      </c>
      <c r="C14" s="39">
        <v>30082.99</v>
      </c>
      <c r="D14" s="39">
        <v>37907.64</v>
      </c>
      <c r="E14" s="39">
        <v>44830.54</v>
      </c>
      <c r="F14" s="39">
        <v>40289.01</v>
      </c>
      <c r="G14" s="39">
        <v>22639.5</v>
      </c>
      <c r="H14" s="39">
        <v>36972.589999999997</v>
      </c>
      <c r="I14" s="39">
        <v>37608.94</v>
      </c>
      <c r="J14" s="39">
        <f t="shared" si="0"/>
        <v>289755.64</v>
      </c>
    </row>
    <row r="15" spans="1:10" x14ac:dyDescent="0.25">
      <c r="A15" t="s">
        <v>436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8000</v>
      </c>
      <c r="H15" s="39">
        <v>1333.33</v>
      </c>
      <c r="I15" s="39">
        <v>1333.33</v>
      </c>
      <c r="J15" s="39">
        <f t="shared" si="0"/>
        <v>10666.66</v>
      </c>
    </row>
    <row r="16" spans="1:10" x14ac:dyDescent="0.25">
      <c r="A16" t="s">
        <v>437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38415.89</v>
      </c>
      <c r="H16" s="39">
        <v>6304.08</v>
      </c>
      <c r="I16" s="39">
        <v>6205.45</v>
      </c>
      <c r="J16" s="39">
        <f t="shared" si="0"/>
        <v>50925.42</v>
      </c>
    </row>
    <row r="17" spans="1:10" x14ac:dyDescent="0.25">
      <c r="A17" s="38" t="s">
        <v>224</v>
      </c>
      <c r="B17" s="41">
        <f t="shared" ref="B17:J17" si="1">SUM(B8:B16)</f>
        <v>149268.41</v>
      </c>
      <c r="C17" s="41">
        <f t="shared" si="1"/>
        <v>114501.72</v>
      </c>
      <c r="D17" s="41">
        <f t="shared" si="1"/>
        <v>206625.96000000002</v>
      </c>
      <c r="E17" s="41">
        <f t="shared" si="1"/>
        <v>165779.96</v>
      </c>
      <c r="F17" s="41">
        <f t="shared" si="1"/>
        <v>274147.28999999998</v>
      </c>
      <c r="G17" s="41">
        <f t="shared" ref="G17:H17" si="2">SUM(G8:G16)</f>
        <v>227290.61</v>
      </c>
      <c r="H17" s="41">
        <f t="shared" si="2"/>
        <v>239028.62999999998</v>
      </c>
      <c r="I17" s="41">
        <f t="shared" si="1"/>
        <v>274792.29000000004</v>
      </c>
      <c r="J17" s="41">
        <f t="shared" si="1"/>
        <v>1651434.8699999999</v>
      </c>
    </row>
    <row r="19" spans="1:10" x14ac:dyDescent="0.25">
      <c r="A19" s="38" t="s">
        <v>283</v>
      </c>
      <c r="J19" s="39">
        <f>SUM(B19:F19)</f>
        <v>0</v>
      </c>
    </row>
    <row r="20" spans="1:10" x14ac:dyDescent="0.25">
      <c r="A20" t="s">
        <v>285</v>
      </c>
      <c r="B20" s="39">
        <v>1052.68</v>
      </c>
      <c r="C20" s="39">
        <v>7138.13</v>
      </c>
      <c r="D20" s="39">
        <v>9184.15</v>
      </c>
      <c r="E20" s="39">
        <v>19400.439999999999</v>
      </c>
      <c r="F20" s="39">
        <v>36.549999999999997</v>
      </c>
      <c r="G20" s="39">
        <v>15295.31</v>
      </c>
      <c r="H20" s="39">
        <v>15289.72</v>
      </c>
      <c r="I20" s="39">
        <v>12182.21</v>
      </c>
      <c r="J20" s="39">
        <f>SUM(B20:I20)</f>
        <v>79579.19</v>
      </c>
    </row>
    <row r="21" spans="1:10" x14ac:dyDescent="0.25">
      <c r="A21" t="s">
        <v>284</v>
      </c>
      <c r="B21" s="39">
        <v>45325</v>
      </c>
      <c r="C21" s="39">
        <v>0</v>
      </c>
      <c r="D21" s="39">
        <v>11772.5</v>
      </c>
      <c r="E21" s="39">
        <v>11772.5</v>
      </c>
      <c r="F21" s="39">
        <v>0</v>
      </c>
      <c r="G21" s="39">
        <v>26350</v>
      </c>
      <c r="H21" s="39">
        <v>0</v>
      </c>
      <c r="I21" s="39">
        <v>36548.32</v>
      </c>
      <c r="J21" s="39">
        <f>SUM(B21:I21)</f>
        <v>131768.32000000001</v>
      </c>
    </row>
    <row r="22" spans="1:10" x14ac:dyDescent="0.25">
      <c r="A22" t="s">
        <v>438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4534.2</v>
      </c>
      <c r="H22" s="39">
        <v>0</v>
      </c>
      <c r="I22" s="39">
        <v>1400.86</v>
      </c>
      <c r="J22" s="39">
        <f>SUM(B22:I22)</f>
        <v>5935.0599999999995</v>
      </c>
    </row>
    <row r="23" spans="1:10" x14ac:dyDescent="0.25">
      <c r="A23" s="38" t="s">
        <v>286</v>
      </c>
      <c r="B23" s="41">
        <f>SUM(B20:B22)</f>
        <v>46377.68</v>
      </c>
      <c r="C23" s="41">
        <f t="shared" ref="C23:J23" si="3">SUM(C20:C22)</f>
        <v>7138.13</v>
      </c>
      <c r="D23" s="41">
        <f t="shared" si="3"/>
        <v>20956.650000000001</v>
      </c>
      <c r="E23" s="41">
        <f t="shared" si="3"/>
        <v>31172.94</v>
      </c>
      <c r="F23" s="41">
        <f t="shared" si="3"/>
        <v>36.549999999999997</v>
      </c>
      <c r="G23" s="41">
        <f t="shared" ref="G23:H23" si="4">SUM(G20:G22)</f>
        <v>46179.509999999995</v>
      </c>
      <c r="H23" s="41">
        <f t="shared" si="4"/>
        <v>15289.72</v>
      </c>
      <c r="I23" s="41">
        <f t="shared" si="3"/>
        <v>50131.39</v>
      </c>
      <c r="J23" s="41">
        <f t="shared" si="3"/>
        <v>217282.57</v>
      </c>
    </row>
    <row r="25" spans="1:10" ht="15.75" thickBot="1" x14ac:dyDescent="0.3">
      <c r="A25" s="38" t="s">
        <v>212</v>
      </c>
      <c r="B25" s="42">
        <f>B17-B23</f>
        <v>102890.73000000001</v>
      </c>
      <c r="C25" s="42">
        <f t="shared" ref="C25:J25" si="5">C17-C23</f>
        <v>107363.59</v>
      </c>
      <c r="D25" s="42">
        <f t="shared" si="5"/>
        <v>185669.31000000003</v>
      </c>
      <c r="E25" s="42">
        <f>E17-E23</f>
        <v>134607.01999999999</v>
      </c>
      <c r="F25" s="42">
        <f t="shared" si="5"/>
        <v>274110.74</v>
      </c>
      <c r="G25" s="42">
        <f>G17-G23</f>
        <v>181111.09999999998</v>
      </c>
      <c r="H25" s="42">
        <f>H17-H23</f>
        <v>223738.90999999997</v>
      </c>
      <c r="I25" s="42">
        <f>I17-I23</f>
        <v>224660.90000000002</v>
      </c>
      <c r="J25" s="42">
        <f t="shared" si="5"/>
        <v>1434152.2999999998</v>
      </c>
    </row>
    <row r="27" spans="1:10" x14ac:dyDescent="0.25">
      <c r="A27" s="38" t="s">
        <v>210</v>
      </c>
    </row>
    <row r="28" spans="1:10" x14ac:dyDescent="0.25">
      <c r="A28" t="s">
        <v>226</v>
      </c>
      <c r="J28" s="39">
        <f>SUM(B28:F28)</f>
        <v>0</v>
      </c>
    </row>
    <row r="29" spans="1:10" x14ac:dyDescent="0.25">
      <c r="A29" t="s">
        <v>287</v>
      </c>
      <c r="B29" s="39">
        <v>8738.67</v>
      </c>
      <c r="C29" s="39">
        <v>7542.86</v>
      </c>
      <c r="D29" s="39">
        <v>8498.8799999999992</v>
      </c>
      <c r="E29" s="39">
        <v>8584.34</v>
      </c>
      <c r="F29" s="39">
        <v>9426.1</v>
      </c>
      <c r="G29" s="39">
        <v>8607.9500000000007</v>
      </c>
      <c r="H29" s="39">
        <v>8988.25</v>
      </c>
      <c r="I29" s="39">
        <v>9405.7800000000007</v>
      </c>
      <c r="J29" s="39">
        <f t="shared" ref="J29:J34" si="6">SUM(B29:I29)</f>
        <v>69792.83</v>
      </c>
    </row>
    <row r="30" spans="1:10" x14ac:dyDescent="0.25">
      <c r="A30" t="s">
        <v>288</v>
      </c>
      <c r="B30" s="39">
        <v>1485.28</v>
      </c>
      <c r="C30" s="39">
        <v>1185.3900000000001</v>
      </c>
      <c r="D30" s="39">
        <v>1307.2</v>
      </c>
      <c r="E30" s="39">
        <v>729.18</v>
      </c>
      <c r="F30" s="39">
        <v>687.56</v>
      </c>
      <c r="G30" s="39">
        <v>659.18</v>
      </c>
      <c r="H30" s="39">
        <v>670.69</v>
      </c>
      <c r="I30" s="39">
        <v>720.28</v>
      </c>
      <c r="J30" s="39">
        <f t="shared" si="6"/>
        <v>7444.7600000000011</v>
      </c>
    </row>
    <row r="31" spans="1:10" x14ac:dyDescent="0.25">
      <c r="A31" t="s">
        <v>289</v>
      </c>
      <c r="B31" s="39">
        <v>3064.68</v>
      </c>
      <c r="C31" s="39">
        <v>3064.68</v>
      </c>
      <c r="D31" s="39">
        <v>3580.55</v>
      </c>
      <c r="E31" s="39">
        <v>3064.68</v>
      </c>
      <c r="F31" s="39">
        <v>3064.68</v>
      </c>
      <c r="G31" s="39">
        <v>3064.68</v>
      </c>
      <c r="H31" s="39">
        <v>3064.68</v>
      </c>
      <c r="I31" s="39">
        <v>3064.68</v>
      </c>
      <c r="J31" s="39">
        <f t="shared" si="6"/>
        <v>25033.31</v>
      </c>
    </row>
    <row r="32" spans="1:10" x14ac:dyDescent="0.25">
      <c r="A32" t="s">
        <v>290</v>
      </c>
      <c r="B32" s="39">
        <v>216.98</v>
      </c>
      <c r="C32" s="39">
        <v>216.98</v>
      </c>
      <c r="D32" s="39">
        <v>216.98</v>
      </c>
      <c r="E32" s="39">
        <v>216.98</v>
      </c>
      <c r="F32" s="39">
        <v>216.98</v>
      </c>
      <c r="G32" s="39">
        <v>216.98</v>
      </c>
      <c r="H32" s="39">
        <v>216.98</v>
      </c>
      <c r="I32" s="39">
        <v>216.98</v>
      </c>
      <c r="J32" s="39">
        <f t="shared" si="6"/>
        <v>1735.84</v>
      </c>
    </row>
    <row r="33" spans="1:10" x14ac:dyDescent="0.25">
      <c r="A33" t="s">
        <v>336</v>
      </c>
      <c r="B33" s="39">
        <v>400</v>
      </c>
      <c r="C33" s="39">
        <v>400</v>
      </c>
      <c r="D33" s="39">
        <v>400</v>
      </c>
      <c r="E33" s="39">
        <v>400</v>
      </c>
      <c r="F33" s="39">
        <v>400</v>
      </c>
      <c r="G33" s="39">
        <v>200</v>
      </c>
      <c r="H33" s="39">
        <v>200</v>
      </c>
      <c r="I33" s="39">
        <v>200</v>
      </c>
      <c r="J33" s="39">
        <f t="shared" si="6"/>
        <v>2600</v>
      </c>
    </row>
    <row r="34" spans="1:10" x14ac:dyDescent="0.25">
      <c r="A34" t="s">
        <v>291</v>
      </c>
      <c r="B34" s="39">
        <v>64.989999999999995</v>
      </c>
      <c r="C34" s="39">
        <v>64.989999999999995</v>
      </c>
      <c r="D34" s="39">
        <v>64.989999999999995</v>
      </c>
      <c r="E34" s="39">
        <v>419.95</v>
      </c>
      <c r="F34" s="39">
        <v>65.09</v>
      </c>
      <c r="G34" s="39">
        <f>64.99+50.66</f>
        <v>115.64999999999999</v>
      </c>
      <c r="H34" s="39">
        <f>64.99+66.92</f>
        <v>131.91</v>
      </c>
      <c r="I34" s="39">
        <v>64.989999999999995</v>
      </c>
      <c r="J34" s="99">
        <f t="shared" si="6"/>
        <v>992.56</v>
      </c>
    </row>
    <row r="35" spans="1:10" x14ac:dyDescent="0.25">
      <c r="A35" s="38" t="s">
        <v>234</v>
      </c>
      <c r="B35" s="41">
        <f>SUM(B29:B34)</f>
        <v>13970.6</v>
      </c>
      <c r="C35" s="41">
        <f t="shared" ref="C35:J35" si="7">SUM(C29:C34)</f>
        <v>12474.9</v>
      </c>
      <c r="D35" s="41">
        <f t="shared" si="7"/>
        <v>14068.6</v>
      </c>
      <c r="E35" s="41">
        <f>SUM(E29:E34)</f>
        <v>13415.130000000001</v>
      </c>
      <c r="F35" s="41">
        <f t="shared" si="7"/>
        <v>13860.41</v>
      </c>
      <c r="G35" s="41">
        <f>SUM(G29:G34)</f>
        <v>12864.44</v>
      </c>
      <c r="H35" s="41">
        <f>SUM(H29:H34)</f>
        <v>13272.51</v>
      </c>
      <c r="I35" s="41">
        <f>SUM(I29:I34)</f>
        <v>13672.710000000001</v>
      </c>
      <c r="J35" s="41">
        <f t="shared" si="7"/>
        <v>107599.29999999999</v>
      </c>
    </row>
    <row r="36" spans="1:10" x14ac:dyDescent="0.25">
      <c r="A36" t="s">
        <v>61</v>
      </c>
    </row>
    <row r="37" spans="1:10" x14ac:dyDescent="0.25">
      <c r="A37" s="38" t="s">
        <v>292</v>
      </c>
    </row>
    <row r="38" spans="1:10" x14ac:dyDescent="0.25">
      <c r="A38" t="s">
        <v>236</v>
      </c>
      <c r="B38" s="39">
        <f t="shared" ref="B38:G38" si="8">25000+12500</f>
        <v>37500</v>
      </c>
      <c r="C38" s="39">
        <f t="shared" si="8"/>
        <v>37500</v>
      </c>
      <c r="D38" s="39">
        <f t="shared" si="8"/>
        <v>37500</v>
      </c>
      <c r="E38" s="39">
        <f t="shared" si="8"/>
        <v>37500</v>
      </c>
      <c r="F38" s="39">
        <f t="shared" si="8"/>
        <v>37500</v>
      </c>
      <c r="G38" s="39">
        <f t="shared" si="8"/>
        <v>37500</v>
      </c>
      <c r="H38" s="39">
        <f>25000+12500</f>
        <v>37500</v>
      </c>
      <c r="I38" s="39">
        <f>25000+12500</f>
        <v>37500</v>
      </c>
      <c r="J38" s="39">
        <f>SUM(B38:I38)</f>
        <v>300000</v>
      </c>
    </row>
    <row r="39" spans="1:10" x14ac:dyDescent="0.25">
      <c r="A39" t="s">
        <v>293</v>
      </c>
      <c r="B39" s="39">
        <v>8518.2800000000007</v>
      </c>
      <c r="C39" s="39">
        <v>5856.39</v>
      </c>
      <c r="D39" s="39">
        <v>8346.2199999999993</v>
      </c>
      <c r="E39" s="39">
        <v>4857.8599999999997</v>
      </c>
      <c r="F39" s="39">
        <f>5661.41+210.04</f>
        <v>5871.45</v>
      </c>
      <c r="G39" s="39">
        <v>5979.18</v>
      </c>
      <c r="H39" s="39">
        <v>7652.61</v>
      </c>
      <c r="I39" s="39">
        <v>7388.57</v>
      </c>
      <c r="J39" s="39">
        <f>SUM(B39:I39)</f>
        <v>54470.559999999998</v>
      </c>
    </row>
    <row r="40" spans="1:10" x14ac:dyDescent="0.25">
      <c r="A40" t="s">
        <v>294</v>
      </c>
      <c r="B40" s="39">
        <v>150</v>
      </c>
      <c r="C40" s="39">
        <v>150</v>
      </c>
      <c r="D40" s="39">
        <v>150</v>
      </c>
      <c r="E40" s="39">
        <v>150</v>
      </c>
      <c r="F40" s="39">
        <v>150</v>
      </c>
      <c r="G40" s="39">
        <v>150</v>
      </c>
      <c r="H40" s="39">
        <v>150</v>
      </c>
      <c r="I40" s="39">
        <v>150</v>
      </c>
      <c r="J40" s="39">
        <f t="shared" ref="J40:J52" si="9">SUM(B40:I40)</f>
        <v>1200</v>
      </c>
    </row>
    <row r="41" spans="1:10" x14ac:dyDescent="0.25">
      <c r="A41" t="s">
        <v>458</v>
      </c>
      <c r="B41" s="39">
        <v>3575</v>
      </c>
      <c r="C41" s="39">
        <v>0</v>
      </c>
      <c r="D41" s="39">
        <v>1210</v>
      </c>
      <c r="E41" s="39">
        <v>1875</v>
      </c>
      <c r="F41" s="39">
        <v>0</v>
      </c>
      <c r="G41" s="39">
        <v>3844.35</v>
      </c>
      <c r="H41" s="39">
        <v>5810</v>
      </c>
      <c r="I41" s="39">
        <v>3409.85</v>
      </c>
      <c r="J41" s="39">
        <f t="shared" si="9"/>
        <v>19724.2</v>
      </c>
    </row>
    <row r="42" spans="1:10" x14ac:dyDescent="0.25">
      <c r="A42" t="s">
        <v>295</v>
      </c>
      <c r="B42" s="39">
        <v>959.14</v>
      </c>
      <c r="C42" s="39">
        <v>519.59</v>
      </c>
      <c r="D42" s="39">
        <v>1411.26</v>
      </c>
      <c r="E42" s="39">
        <v>2829.73</v>
      </c>
      <c r="F42" s="39">
        <v>1685.25</v>
      </c>
      <c r="G42" s="39">
        <v>10130.58</v>
      </c>
      <c r="H42" s="39">
        <v>1273.76</v>
      </c>
      <c r="I42" s="39">
        <v>6783.81</v>
      </c>
      <c r="J42" s="39">
        <f t="shared" si="9"/>
        <v>25593.119999999999</v>
      </c>
    </row>
    <row r="43" spans="1:10" x14ac:dyDescent="0.25">
      <c r="A43" t="s">
        <v>241</v>
      </c>
      <c r="B43" s="39">
        <v>5394.18</v>
      </c>
      <c r="C43" s="39">
        <v>5394.18</v>
      </c>
      <c r="D43" s="39">
        <v>5394.18</v>
      </c>
      <c r="E43" s="39">
        <v>5394.18</v>
      </c>
      <c r="F43" s="39">
        <v>5394.18</v>
      </c>
      <c r="G43" s="39">
        <v>5394.18</v>
      </c>
      <c r="H43" s="39">
        <v>5019.7700000000004</v>
      </c>
      <c r="I43" s="39">
        <v>5471.33</v>
      </c>
      <c r="J43" s="39">
        <f t="shared" si="9"/>
        <v>42856.180000000008</v>
      </c>
    </row>
    <row r="44" spans="1:10" x14ac:dyDescent="0.25">
      <c r="A44" t="s">
        <v>242</v>
      </c>
      <c r="B44" s="39">
        <v>1568.56</v>
      </c>
      <c r="C44" s="39">
        <v>2423.8000000000002</v>
      </c>
      <c r="D44" s="39">
        <v>2122.8000000000002</v>
      </c>
      <c r="E44" s="39">
        <v>2200</v>
      </c>
      <c r="F44" s="39">
        <v>-1041.1199999999999</v>
      </c>
      <c r="G44" s="39">
        <v>2297.7600000000002</v>
      </c>
      <c r="H44" s="39">
        <v>1026.78</v>
      </c>
      <c r="I44" s="39">
        <v>603.67999999999995</v>
      </c>
      <c r="J44" s="39">
        <f t="shared" si="9"/>
        <v>11202.26</v>
      </c>
    </row>
    <row r="45" spans="1:10" x14ac:dyDescent="0.25">
      <c r="A45" t="s">
        <v>240</v>
      </c>
      <c r="B45" s="39">
        <v>18020.830000000002</v>
      </c>
      <c r="C45" s="39">
        <v>18020.84</v>
      </c>
      <c r="D45" s="39">
        <v>18020.84</v>
      </c>
      <c r="E45" s="39">
        <v>18020.82</v>
      </c>
      <c r="F45" s="39">
        <v>18020.830000000002</v>
      </c>
      <c r="G45" s="39">
        <v>4868.74</v>
      </c>
      <c r="H45" s="39">
        <v>18020.830000000002</v>
      </c>
      <c r="I45" s="39">
        <v>18020.84</v>
      </c>
      <c r="J45" s="39">
        <f t="shared" si="9"/>
        <v>131014.56999999999</v>
      </c>
    </row>
    <row r="46" spans="1:10" x14ac:dyDescent="0.25">
      <c r="A46" t="s">
        <v>243</v>
      </c>
      <c r="B46" s="39">
        <v>5.49</v>
      </c>
      <c r="C46" s="39">
        <v>0</v>
      </c>
      <c r="D46" s="39">
        <v>100.81</v>
      </c>
      <c r="E46" s="39">
        <v>0</v>
      </c>
      <c r="F46" s="39">
        <v>46.17</v>
      </c>
      <c r="G46" s="39">
        <v>0</v>
      </c>
      <c r="H46" s="39">
        <v>0</v>
      </c>
      <c r="I46" s="39">
        <v>0</v>
      </c>
      <c r="J46" s="39">
        <f t="shared" si="9"/>
        <v>152.47</v>
      </c>
    </row>
    <row r="47" spans="1:10" x14ac:dyDescent="0.25">
      <c r="A47" t="s">
        <v>250</v>
      </c>
      <c r="B47" s="39">
        <v>7320.8</v>
      </c>
      <c r="C47" s="39">
        <v>7321.95</v>
      </c>
      <c r="D47" s="39">
        <v>6956.8</v>
      </c>
      <c r="E47" s="39">
        <v>7611.52</v>
      </c>
      <c r="F47" s="39">
        <v>7241.42</v>
      </c>
      <c r="G47" s="39">
        <v>7612.47</v>
      </c>
      <c r="H47" s="39">
        <v>6608</v>
      </c>
      <c r="I47" s="39">
        <v>7367.7</v>
      </c>
      <c r="J47" s="39">
        <f t="shared" si="9"/>
        <v>58040.659999999996</v>
      </c>
    </row>
    <row r="48" spans="1:10" x14ac:dyDescent="0.25">
      <c r="A48" t="s">
        <v>244</v>
      </c>
      <c r="B48" s="39">
        <v>649.54999999999995</v>
      </c>
      <c r="C48" s="39">
        <v>160.78</v>
      </c>
      <c r="D48" s="39">
        <v>278.7</v>
      </c>
      <c r="E48" s="39">
        <v>536.80999999999995</v>
      </c>
      <c r="F48" s="39">
        <v>160.78</v>
      </c>
      <c r="G48" s="39">
        <v>160.78</v>
      </c>
      <c r="H48" s="39">
        <v>436.05</v>
      </c>
      <c r="I48" s="39">
        <v>686.41</v>
      </c>
      <c r="J48" s="39">
        <f t="shared" si="9"/>
        <v>3069.8599999999997</v>
      </c>
    </row>
    <row r="49" spans="1:10" x14ac:dyDescent="0.25">
      <c r="A49" t="s">
        <v>296</v>
      </c>
      <c r="B49" s="39">
        <v>9962.11</v>
      </c>
      <c r="C49" s="39">
        <v>10391.68</v>
      </c>
      <c r="D49" s="39">
        <v>10391.68</v>
      </c>
      <c r="E49" s="39">
        <v>10391.68</v>
      </c>
      <c r="F49" s="39">
        <v>10581.56</v>
      </c>
      <c r="G49" s="39">
        <v>10811.59</v>
      </c>
      <c r="H49" s="39">
        <v>10493.31</v>
      </c>
      <c r="I49" s="39">
        <v>10587.39</v>
      </c>
      <c r="J49" s="39">
        <f t="shared" si="9"/>
        <v>83611</v>
      </c>
    </row>
    <row r="50" spans="1:10" x14ac:dyDescent="0.25">
      <c r="A50" t="s">
        <v>299</v>
      </c>
      <c r="B50" s="39">
        <v>1351.56</v>
      </c>
      <c r="C50" s="39">
        <v>1938.84</v>
      </c>
      <c r="D50" s="39">
        <v>1938.84</v>
      </c>
      <c r="E50" s="39">
        <v>1937.28</v>
      </c>
      <c r="F50" s="39">
        <v>1939.84</v>
      </c>
      <c r="G50" s="39">
        <v>1568.58</v>
      </c>
      <c r="H50" s="39">
        <v>836.4</v>
      </c>
      <c r="I50" s="39">
        <v>1730.97</v>
      </c>
      <c r="J50" s="39">
        <f t="shared" si="9"/>
        <v>13242.309999999998</v>
      </c>
    </row>
    <row r="51" spans="1:10" x14ac:dyDescent="0.25">
      <c r="A51" t="s">
        <v>264</v>
      </c>
      <c r="B51" s="39">
        <v>1018.09</v>
      </c>
      <c r="C51" s="39">
        <v>1018.09</v>
      </c>
      <c r="D51" s="39">
        <v>1018.09</v>
      </c>
      <c r="E51" s="39">
        <v>1049.5999999999999</v>
      </c>
      <c r="F51" s="39">
        <v>316.17</v>
      </c>
      <c r="G51" s="39">
        <v>236.46</v>
      </c>
      <c r="H51" s="39">
        <v>2820.43</v>
      </c>
      <c r="I51" s="39">
        <v>0</v>
      </c>
      <c r="J51" s="39">
        <f t="shared" si="9"/>
        <v>7476.93</v>
      </c>
    </row>
    <row r="52" spans="1:10" x14ac:dyDescent="0.25">
      <c r="A52" t="s">
        <v>393</v>
      </c>
      <c r="B52" s="39">
        <v>0</v>
      </c>
      <c r="C52" s="39">
        <v>0</v>
      </c>
      <c r="D52" s="39">
        <v>0</v>
      </c>
      <c r="E52" s="39">
        <v>0</v>
      </c>
      <c r="F52" s="39">
        <v>920.12</v>
      </c>
      <c r="G52" s="39">
        <v>3023.66</v>
      </c>
      <c r="H52" s="39">
        <v>560.84</v>
      </c>
      <c r="I52" s="39">
        <v>560.86</v>
      </c>
      <c r="J52" s="99">
        <f t="shared" si="9"/>
        <v>5065.4799999999996</v>
      </c>
    </row>
    <row r="53" spans="1:10" x14ac:dyDescent="0.25">
      <c r="A53" s="38" t="s">
        <v>338</v>
      </c>
      <c r="B53" s="41">
        <f t="shared" ref="B53:J53" si="10">SUM(B38:B52)</f>
        <v>95993.59</v>
      </c>
      <c r="C53" s="41">
        <f t="shared" si="10"/>
        <v>90696.139999999985</v>
      </c>
      <c r="D53" s="41">
        <f t="shared" si="10"/>
        <v>94840.22</v>
      </c>
      <c r="E53" s="41">
        <f t="shared" si="10"/>
        <v>94354.48000000001</v>
      </c>
      <c r="F53" s="41">
        <f t="shared" si="10"/>
        <v>88786.64999999998</v>
      </c>
      <c r="G53" s="41">
        <f>SUM(G38:G52)</f>
        <v>93578.330000000016</v>
      </c>
      <c r="H53" s="41">
        <f>SUM(H38:H52)</f>
        <v>98208.779999999984</v>
      </c>
      <c r="I53" s="41">
        <f>SUM(I38:I52)</f>
        <v>100261.41</v>
      </c>
      <c r="J53" s="41">
        <f t="shared" si="10"/>
        <v>756719.6</v>
      </c>
    </row>
    <row r="55" spans="1:10" x14ac:dyDescent="0.25">
      <c r="A55" s="38" t="s">
        <v>297</v>
      </c>
    </row>
    <row r="56" spans="1:10" x14ac:dyDescent="0.25">
      <c r="A56" t="s">
        <v>253</v>
      </c>
      <c r="B56" s="39">
        <v>231.6</v>
      </c>
      <c r="C56" s="39">
        <v>181.9</v>
      </c>
      <c r="D56" s="39">
        <v>151.94999999999999</v>
      </c>
      <c r="E56" s="39">
        <v>135.54</v>
      </c>
      <c r="F56" s="39">
        <v>147.36000000000001</v>
      </c>
      <c r="G56" s="39">
        <v>135.63999999999999</v>
      </c>
      <c r="H56" s="39">
        <v>141.44999999999999</v>
      </c>
      <c r="I56" s="39">
        <v>154.02000000000001</v>
      </c>
      <c r="J56" s="39">
        <f>SUM(B56:I56)</f>
        <v>1279.46</v>
      </c>
    </row>
    <row r="57" spans="1:10" x14ac:dyDescent="0.25">
      <c r="A57" t="s">
        <v>254</v>
      </c>
      <c r="B57" s="39">
        <v>763.06</v>
      </c>
      <c r="C57" s="39">
        <v>700.02</v>
      </c>
      <c r="D57" s="39">
        <v>701.8</v>
      </c>
      <c r="E57" s="39">
        <v>709.3</v>
      </c>
      <c r="F57" s="39">
        <v>754.79</v>
      </c>
      <c r="G57" s="39">
        <v>696.33</v>
      </c>
      <c r="H57" s="39">
        <v>758.24</v>
      </c>
      <c r="I57" s="39">
        <v>745.68</v>
      </c>
      <c r="J57" s="39">
        <f t="shared" ref="J57:J65" si="11">SUM(B57:I57)</f>
        <v>5829.22</v>
      </c>
    </row>
    <row r="58" spans="1:10" x14ac:dyDescent="0.25">
      <c r="A58" t="s">
        <v>298</v>
      </c>
      <c r="B58" s="39">
        <v>0</v>
      </c>
      <c r="C58" s="39">
        <v>0</v>
      </c>
      <c r="D58" s="39">
        <v>0</v>
      </c>
      <c r="E58" s="39">
        <v>300</v>
      </c>
      <c r="F58" s="39">
        <v>0</v>
      </c>
      <c r="G58" s="39">
        <v>0</v>
      </c>
      <c r="H58" s="39">
        <v>0</v>
      </c>
      <c r="I58" s="39">
        <v>0</v>
      </c>
      <c r="J58" s="39">
        <f t="shared" si="11"/>
        <v>300</v>
      </c>
    </row>
    <row r="59" spans="1:10" x14ac:dyDescent="0.25">
      <c r="A59" t="s">
        <v>310</v>
      </c>
      <c r="B59" s="39">
        <v>0</v>
      </c>
      <c r="C59" s="39">
        <v>1250</v>
      </c>
      <c r="D59" s="39">
        <v>0</v>
      </c>
      <c r="E59" s="39">
        <v>0</v>
      </c>
      <c r="F59" s="39">
        <v>0</v>
      </c>
      <c r="G59" s="39">
        <v>0</v>
      </c>
      <c r="H59" s="39">
        <v>4000</v>
      </c>
      <c r="I59" s="39">
        <v>4000</v>
      </c>
      <c r="J59" s="39">
        <f t="shared" si="11"/>
        <v>9250</v>
      </c>
    </row>
    <row r="60" spans="1:10" x14ac:dyDescent="0.25">
      <c r="A60" t="s">
        <v>367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-5776.56</v>
      </c>
      <c r="H60" s="39">
        <v>0</v>
      </c>
      <c r="I60" s="39">
        <v>0</v>
      </c>
      <c r="J60" s="39">
        <f t="shared" si="11"/>
        <v>-5776.56</v>
      </c>
    </row>
    <row r="61" spans="1:10" x14ac:dyDescent="0.25">
      <c r="A61" t="s">
        <v>394</v>
      </c>
      <c r="B61" s="39">
        <v>5000</v>
      </c>
      <c r="C61" s="39">
        <v>5000</v>
      </c>
      <c r="D61" s="39">
        <v>5000</v>
      </c>
      <c r="E61" s="39">
        <v>5000</v>
      </c>
      <c r="F61" s="39">
        <v>5000</v>
      </c>
      <c r="G61" s="39">
        <v>4000</v>
      </c>
      <c r="H61" s="39">
        <v>4000</v>
      </c>
      <c r="I61" s="39">
        <v>0</v>
      </c>
      <c r="J61" s="39">
        <f t="shared" si="11"/>
        <v>33000</v>
      </c>
    </row>
    <row r="62" spans="1:10" x14ac:dyDescent="0.25">
      <c r="A62" t="s">
        <v>366</v>
      </c>
      <c r="B62" s="39">
        <v>2250</v>
      </c>
      <c r="C62" s="39">
        <v>2250</v>
      </c>
      <c r="D62" s="39">
        <v>2250</v>
      </c>
      <c r="E62" s="39">
        <v>2250</v>
      </c>
      <c r="F62" s="39">
        <v>2250</v>
      </c>
      <c r="G62" s="39">
        <v>2250</v>
      </c>
      <c r="H62" s="39">
        <v>2250</v>
      </c>
      <c r="I62" s="39">
        <v>2250</v>
      </c>
      <c r="J62" s="39">
        <f t="shared" si="11"/>
        <v>18000</v>
      </c>
    </row>
    <row r="63" spans="1:10" x14ac:dyDescent="0.25">
      <c r="A63" t="s">
        <v>395</v>
      </c>
      <c r="B63" s="39">
        <v>791.67</v>
      </c>
      <c r="C63" s="39">
        <v>791.67</v>
      </c>
      <c r="D63" s="39">
        <v>791.67</v>
      </c>
      <c r="E63" s="39">
        <v>791.67</v>
      </c>
      <c r="F63" s="39">
        <f>8791.67-8000.01</f>
        <v>791.65999999999985</v>
      </c>
      <c r="G63" s="39">
        <v>666.67</v>
      </c>
      <c r="H63" s="39">
        <v>666.67</v>
      </c>
      <c r="I63" s="39">
        <v>666.67</v>
      </c>
      <c r="J63" s="39">
        <f t="shared" si="11"/>
        <v>5958.3499999999995</v>
      </c>
    </row>
    <row r="64" spans="1:10" x14ac:dyDescent="0.25">
      <c r="A64" t="s">
        <v>396</v>
      </c>
      <c r="B64" s="39">
        <v>109</v>
      </c>
      <c r="C64" s="39">
        <v>0</v>
      </c>
      <c r="D64" s="39">
        <v>40</v>
      </c>
      <c r="E64" s="39">
        <v>0</v>
      </c>
      <c r="F64" s="39">
        <v>0</v>
      </c>
      <c r="G64" s="39">
        <v>0</v>
      </c>
      <c r="H64" s="39">
        <v>0</v>
      </c>
      <c r="I64" s="39">
        <v>300</v>
      </c>
      <c r="J64" s="39">
        <f t="shared" si="11"/>
        <v>449</v>
      </c>
    </row>
    <row r="65" spans="1:11" x14ac:dyDescent="0.25">
      <c r="A65" t="s">
        <v>258</v>
      </c>
      <c r="B65" s="39">
        <v>225</v>
      </c>
      <c r="C65" s="39">
        <v>352.5</v>
      </c>
      <c r="D65" s="39">
        <v>0</v>
      </c>
      <c r="E65" s="39">
        <v>0</v>
      </c>
      <c r="F65" s="39">
        <v>0</v>
      </c>
      <c r="G65" s="39">
        <v>650</v>
      </c>
      <c r="H65" s="39">
        <v>0</v>
      </c>
      <c r="I65" s="39">
        <v>1250</v>
      </c>
      <c r="J65" s="99">
        <f t="shared" si="11"/>
        <v>2477.5</v>
      </c>
    </row>
    <row r="66" spans="1:11" x14ac:dyDescent="0.25">
      <c r="A66" s="38" t="s">
        <v>300</v>
      </c>
      <c r="B66" s="41">
        <f>SUM(B56:B65)</f>
        <v>9370.33</v>
      </c>
      <c r="C66" s="41">
        <f t="shared" ref="C66:J66" si="12">SUM(C56:C65)</f>
        <v>10526.09</v>
      </c>
      <c r="D66" s="41">
        <f t="shared" si="12"/>
        <v>8935.42</v>
      </c>
      <c r="E66" s="41">
        <f>SUM(E56:E65)</f>
        <v>9186.51</v>
      </c>
      <c r="F66" s="41">
        <f t="shared" si="12"/>
        <v>8943.81</v>
      </c>
      <c r="G66" s="41">
        <f>SUM(G56:G65)</f>
        <v>2622.08</v>
      </c>
      <c r="H66" s="41">
        <f>SUM(H56:H65)</f>
        <v>11816.36</v>
      </c>
      <c r="I66" s="41">
        <f>SUM(I56:I65)</f>
        <v>9366.369999999999</v>
      </c>
      <c r="J66" s="41">
        <f t="shared" si="12"/>
        <v>70766.97</v>
      </c>
    </row>
    <row r="67" spans="1:11" x14ac:dyDescent="0.25">
      <c r="A67" t="s">
        <v>247</v>
      </c>
    </row>
    <row r="68" spans="1:11" ht="15.75" thickBot="1" x14ac:dyDescent="0.3">
      <c r="A68" s="38" t="s">
        <v>211</v>
      </c>
      <c r="B68" s="42">
        <f t="shared" ref="B68:J68" si="13">B35+B53+B66</f>
        <v>119334.52</v>
      </c>
      <c r="C68" s="42">
        <f t="shared" si="13"/>
        <v>113697.12999999998</v>
      </c>
      <c r="D68" s="42">
        <f t="shared" si="13"/>
        <v>117844.24</v>
      </c>
      <c r="E68" s="42">
        <f t="shared" si="13"/>
        <v>116956.12000000001</v>
      </c>
      <c r="F68" s="42">
        <f t="shared" si="13"/>
        <v>111590.86999999998</v>
      </c>
      <c r="G68" s="42">
        <f>G35+G53+G66</f>
        <v>109064.85000000002</v>
      </c>
      <c r="H68" s="42">
        <f>H35+H53+H66</f>
        <v>123297.64999999998</v>
      </c>
      <c r="I68" s="42">
        <f>I35+I53+I66</f>
        <v>123300.49</v>
      </c>
      <c r="J68" s="42">
        <f t="shared" si="13"/>
        <v>935085.86999999988</v>
      </c>
    </row>
    <row r="70" spans="1:11" x14ac:dyDescent="0.25">
      <c r="A70" s="38" t="s">
        <v>301</v>
      </c>
    </row>
    <row r="71" spans="1:11" x14ac:dyDescent="0.25">
      <c r="A71" t="s">
        <v>302</v>
      </c>
      <c r="B71" s="39">
        <v>12500</v>
      </c>
      <c r="C71" s="39">
        <v>12500</v>
      </c>
      <c r="D71" s="39">
        <v>12500</v>
      </c>
      <c r="E71" s="39">
        <v>12500</v>
      </c>
      <c r="F71" s="39">
        <v>12500</v>
      </c>
      <c r="G71" s="39">
        <v>12500</v>
      </c>
      <c r="H71" s="39">
        <v>12500</v>
      </c>
      <c r="I71" s="39">
        <v>12500</v>
      </c>
      <c r="J71" s="39">
        <f>SUM(B71:I71)</f>
        <v>100000</v>
      </c>
    </row>
    <row r="72" spans="1:11" x14ac:dyDescent="0.25">
      <c r="A72" t="s">
        <v>272</v>
      </c>
      <c r="B72" s="39">
        <v>2109.7199999999998</v>
      </c>
      <c r="C72" s="39">
        <v>2488.89</v>
      </c>
      <c r="D72" s="39">
        <v>2770.21</v>
      </c>
      <c r="E72" s="39">
        <v>2666.67</v>
      </c>
      <c r="F72" s="39">
        <v>2755.56</v>
      </c>
      <c r="G72" s="39">
        <v>2666.67</v>
      </c>
      <c r="H72" s="39">
        <v>2755.56</v>
      </c>
      <c r="I72" s="39">
        <v>3000</v>
      </c>
      <c r="J72" s="39">
        <f>SUM(B72:I72)</f>
        <v>21213.279999999999</v>
      </c>
    </row>
    <row r="73" spans="1:11" x14ac:dyDescent="0.25">
      <c r="A73" s="38" t="s">
        <v>303</v>
      </c>
      <c r="B73" s="41">
        <f>SUM(B71:B72)</f>
        <v>14609.72</v>
      </c>
      <c r="C73" s="41">
        <f t="shared" ref="C73:J73" si="14">SUM(C71:C72)</f>
        <v>14988.89</v>
      </c>
      <c r="D73" s="41">
        <f t="shared" si="14"/>
        <v>15270.21</v>
      </c>
      <c r="E73" s="41">
        <f>SUM(E71:E72)</f>
        <v>15166.67</v>
      </c>
      <c r="F73" s="41">
        <f t="shared" si="14"/>
        <v>15255.56</v>
      </c>
      <c r="G73" s="41">
        <f>SUM(G71:G72)</f>
        <v>15166.67</v>
      </c>
      <c r="H73" s="41">
        <f>SUM(H71:H72)</f>
        <v>15255.56</v>
      </c>
      <c r="I73" s="41">
        <f>SUM(I71:I72)</f>
        <v>15500</v>
      </c>
      <c r="J73" s="41">
        <f t="shared" si="14"/>
        <v>121213.28</v>
      </c>
    </row>
    <row r="75" spans="1:11" ht="15.75" thickBot="1" x14ac:dyDescent="0.3">
      <c r="A75" s="38" t="s">
        <v>304</v>
      </c>
      <c r="B75" s="43">
        <f t="shared" ref="B75:J75" si="15">B25-B68+B73</f>
        <v>-1834.0699999999943</v>
      </c>
      <c r="C75" s="43">
        <f t="shared" si="15"/>
        <v>8655.3500000000204</v>
      </c>
      <c r="D75" s="43">
        <f t="shared" si="15"/>
        <v>83095.280000000028</v>
      </c>
      <c r="E75" s="43">
        <f t="shared" si="15"/>
        <v>32817.569999999978</v>
      </c>
      <c r="F75" s="43">
        <f t="shared" si="15"/>
        <v>177775.43</v>
      </c>
      <c r="G75" s="43">
        <f>G25-G68+G73</f>
        <v>87212.919999999955</v>
      </c>
      <c r="H75" s="43">
        <f>H25-H68+H73</f>
        <v>115696.81999999999</v>
      </c>
      <c r="I75" s="43">
        <f>I25-I68+I73</f>
        <v>116860.41000000002</v>
      </c>
      <c r="J75" s="43">
        <f t="shared" si="15"/>
        <v>620279.71</v>
      </c>
      <c r="K75"/>
    </row>
    <row r="76" spans="1:11" ht="15.75" thickTop="1" x14ac:dyDescent="0.25"/>
    <row r="77" spans="1:11" x14ac:dyDescent="0.25">
      <c r="B77" s="39">
        <v>-1834.07</v>
      </c>
      <c r="C77" s="39">
        <v>8655.35</v>
      </c>
      <c r="D77" s="39">
        <v>83095.28</v>
      </c>
      <c r="E77" s="39">
        <v>32817.57</v>
      </c>
      <c r="F77" s="39">
        <v>177775.43</v>
      </c>
      <c r="G77" s="39">
        <v>87212.92</v>
      </c>
      <c r="H77" s="39">
        <v>115696.82</v>
      </c>
      <c r="I77" s="39">
        <v>116860.41</v>
      </c>
      <c r="J77" s="39">
        <v>620279.71</v>
      </c>
    </row>
    <row r="78" spans="1:11" x14ac:dyDescent="0.25">
      <c r="B78" s="102">
        <f>ROUND((B77-B75),2)</f>
        <v>0</v>
      </c>
      <c r="C78" s="102">
        <f t="shared" ref="C78:J78" si="16">ROUND((C77-C75),2)</f>
        <v>0</v>
      </c>
      <c r="D78" s="102">
        <f t="shared" si="16"/>
        <v>0</v>
      </c>
      <c r="E78" s="102">
        <f t="shared" si="16"/>
        <v>0</v>
      </c>
      <c r="F78" s="102">
        <f t="shared" si="16"/>
        <v>0</v>
      </c>
      <c r="G78" s="102">
        <f t="shared" ref="G78:H78" si="17">ROUND((G77-G75),2)</f>
        <v>0</v>
      </c>
      <c r="H78" s="102">
        <f t="shared" si="17"/>
        <v>0</v>
      </c>
      <c r="I78" s="102">
        <f t="shared" si="16"/>
        <v>0</v>
      </c>
      <c r="J78" s="102">
        <f t="shared" si="16"/>
        <v>0</v>
      </c>
    </row>
  </sheetData>
  <mergeCells count="3">
    <mergeCell ref="A1:J1"/>
    <mergeCell ref="A2:J2"/>
    <mergeCell ref="A3:J3"/>
  </mergeCells>
  <pageMargins left="0.7" right="0.7" top="0.75" bottom="0.75" header="0.3" footer="0.3"/>
  <pageSetup scale="5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M64"/>
  <sheetViews>
    <sheetView view="pageBreakPreview" zoomScaleNormal="100" zoomScaleSheetLayoutView="100" workbookViewId="0">
      <pane ySplit="6" topLeftCell="A46" activePane="bottomLeft" state="frozen"/>
      <selection activeCell="C24" sqref="C24"/>
      <selection pane="bottomLeft" activeCell="G13" sqref="G13"/>
    </sheetView>
  </sheetViews>
  <sheetFormatPr defaultRowHeight="15" x14ac:dyDescent="0.25"/>
  <cols>
    <col min="1" max="1" width="41.28515625" bestFit="1" customWidth="1"/>
    <col min="2" max="2" width="14.140625" style="39" bestFit="1" customWidth="1"/>
    <col min="3" max="3" width="14.42578125" style="39" customWidth="1"/>
    <col min="4" max="4" width="15.140625" style="39" bestFit="1" customWidth="1"/>
    <col min="5" max="6" width="14.7109375" style="39" bestFit="1" customWidth="1"/>
    <col min="7" max="9" width="15.28515625" style="39" bestFit="1" customWidth="1"/>
    <col min="10" max="10" width="15.42578125" style="39" bestFit="1" customWidth="1"/>
    <col min="11" max="11" width="8.85546875" style="39"/>
    <col min="12" max="13" width="11.5703125" bestFit="1" customWidth="1"/>
  </cols>
  <sheetData>
    <row r="1" spans="1:10" x14ac:dyDescent="0.25">
      <c r="A1" s="269" t="s">
        <v>340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x14ac:dyDescent="0.25">
      <c r="A2" s="269" t="s">
        <v>278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x14ac:dyDescent="0.25">
      <c r="A3" s="269">
        <v>2018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5">
      <c r="B6" s="44" t="s">
        <v>305</v>
      </c>
      <c r="C6" s="44" t="s">
        <v>306</v>
      </c>
      <c r="D6" s="44" t="s">
        <v>307</v>
      </c>
      <c r="E6" s="44" t="s">
        <v>308</v>
      </c>
      <c r="F6" s="44" t="s">
        <v>384</v>
      </c>
      <c r="G6" s="44" t="s">
        <v>427</v>
      </c>
      <c r="H6" s="44" t="s">
        <v>452</v>
      </c>
      <c r="I6" s="44" t="s">
        <v>465</v>
      </c>
      <c r="J6" s="44" t="s">
        <v>208</v>
      </c>
    </row>
    <row r="7" spans="1:10" x14ac:dyDescent="0.25">
      <c r="A7" s="38" t="s">
        <v>62</v>
      </c>
    </row>
    <row r="8" spans="1:10" x14ac:dyDescent="0.25">
      <c r="A8" t="s">
        <v>312</v>
      </c>
      <c r="B8" s="39">
        <v>1259181.27</v>
      </c>
      <c r="C8" s="39">
        <v>3842825.02</v>
      </c>
      <c r="D8" s="39">
        <v>6380777.25</v>
      </c>
      <c r="E8" s="39">
        <v>7202321.2999999998</v>
      </c>
      <c r="F8" s="39">
        <v>8920930.5899999999</v>
      </c>
      <c r="G8" s="39">
        <v>10255749.529999999</v>
      </c>
      <c r="H8" s="39">
        <v>11726637.460000001</v>
      </c>
      <c r="I8" s="39">
        <v>8087466.0499999998</v>
      </c>
      <c r="J8" s="39">
        <f t="shared" ref="J8:J16" si="0">SUM(B8:I8)</f>
        <v>57675888.469999999</v>
      </c>
    </row>
    <row r="9" spans="1:10" x14ac:dyDescent="0.25">
      <c r="A9" t="s">
        <v>320</v>
      </c>
      <c r="B9" s="39">
        <v>236007.94</v>
      </c>
      <c r="C9" s="39">
        <v>379397.28</v>
      </c>
      <c r="D9" s="39">
        <v>545988.51</v>
      </c>
      <c r="E9" s="39">
        <v>295631.26</v>
      </c>
      <c r="F9" s="39">
        <v>282253.62</v>
      </c>
      <c r="G9" s="39">
        <v>179199.65</v>
      </c>
      <c r="H9" s="39">
        <v>396933.84</v>
      </c>
      <c r="I9" s="39">
        <v>338757.5</v>
      </c>
      <c r="J9" s="39">
        <f t="shared" si="0"/>
        <v>2654169.5999999996</v>
      </c>
    </row>
    <row r="10" spans="1:10" x14ac:dyDescent="0.25">
      <c r="A10" t="s">
        <v>321</v>
      </c>
      <c r="B10" s="39">
        <v>61335.59</v>
      </c>
      <c r="C10" s="39">
        <v>17413.54</v>
      </c>
      <c r="D10" s="39">
        <v>27676.38</v>
      </c>
      <c r="E10" s="39">
        <v>53826.559999999998</v>
      </c>
      <c r="F10" s="39">
        <v>37554.74</v>
      </c>
      <c r="G10" s="39">
        <v>14783.41</v>
      </c>
      <c r="H10" s="39">
        <v>26033.31</v>
      </c>
      <c r="I10" s="39">
        <v>26281.37</v>
      </c>
      <c r="J10" s="39">
        <f t="shared" si="0"/>
        <v>264904.90000000002</v>
      </c>
    </row>
    <row r="11" spans="1:10" x14ac:dyDescent="0.25">
      <c r="A11" t="s">
        <v>385</v>
      </c>
      <c r="B11" s="39">
        <v>0</v>
      </c>
      <c r="C11" s="39">
        <v>0</v>
      </c>
      <c r="D11" s="39">
        <v>0</v>
      </c>
      <c r="E11" s="39">
        <v>0</v>
      </c>
      <c r="F11" s="39">
        <v>3310.3</v>
      </c>
      <c r="G11" s="39">
        <v>3202.6</v>
      </c>
      <c r="H11" s="39">
        <v>6393.6</v>
      </c>
      <c r="I11" s="39">
        <v>4616.5</v>
      </c>
      <c r="J11" s="39">
        <f t="shared" si="0"/>
        <v>17523</v>
      </c>
    </row>
    <row r="12" spans="1:10" x14ac:dyDescent="0.25">
      <c r="A12" t="s">
        <v>473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1473</v>
      </c>
      <c r="I12" s="39">
        <v>132.97999999999999</v>
      </c>
      <c r="J12" s="39">
        <f t="shared" ref="J12" si="1">SUM(B12:I12)</f>
        <v>1605.98</v>
      </c>
    </row>
    <row r="13" spans="1:10" x14ac:dyDescent="0.25">
      <c r="A13" t="s">
        <v>322</v>
      </c>
      <c r="B13" s="39">
        <v>658</v>
      </c>
      <c r="C13" s="39">
        <v>1919</v>
      </c>
      <c r="D13" s="39">
        <v>477</v>
      </c>
      <c r="E13" s="39">
        <v>592.5</v>
      </c>
      <c r="F13" s="39">
        <f>1227.5</f>
        <v>1227.5</v>
      </c>
      <c r="G13" s="39">
        <v>268</v>
      </c>
      <c r="H13" s="39">
        <v>1265</v>
      </c>
      <c r="I13" s="39">
        <v>175</v>
      </c>
      <c r="J13" s="39">
        <f t="shared" si="0"/>
        <v>6582</v>
      </c>
    </row>
    <row r="14" spans="1:10" x14ac:dyDescent="0.25">
      <c r="A14" t="s">
        <v>323</v>
      </c>
      <c r="B14" s="39">
        <v>59302.75</v>
      </c>
      <c r="C14" s="39">
        <v>176078.5</v>
      </c>
      <c r="D14" s="39">
        <v>289922.25</v>
      </c>
      <c r="E14" s="39">
        <v>364686</v>
      </c>
      <c r="F14" s="39">
        <v>414150.75</v>
      </c>
      <c r="G14" s="39">
        <v>437152</v>
      </c>
      <c r="H14" s="39">
        <v>559001.75</v>
      </c>
      <c r="I14" s="39">
        <v>304574.5</v>
      </c>
      <c r="J14" s="39">
        <f t="shared" si="0"/>
        <v>2604868.5</v>
      </c>
    </row>
    <row r="15" spans="1:10" x14ac:dyDescent="0.25">
      <c r="A15" t="s">
        <v>324</v>
      </c>
      <c r="B15" s="39">
        <v>-878.76</v>
      </c>
      <c r="C15" s="39">
        <v>0</v>
      </c>
      <c r="D15" s="39">
        <v>0</v>
      </c>
      <c r="E15" s="39">
        <v>-5916</v>
      </c>
      <c r="F15" s="39">
        <v>0</v>
      </c>
      <c r="G15" s="39">
        <v>-50883.01</v>
      </c>
      <c r="H15" s="39">
        <v>-5495.2</v>
      </c>
      <c r="I15" s="39">
        <f>-11900</f>
        <v>-11900</v>
      </c>
      <c r="J15" s="39">
        <f t="shared" ref="J15" si="2">SUM(B15:I15)</f>
        <v>-75072.97</v>
      </c>
    </row>
    <row r="16" spans="1:10" x14ac:dyDescent="0.25">
      <c r="A16" t="s">
        <v>472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-22111.39</v>
      </c>
      <c r="J16" s="39">
        <f t="shared" si="0"/>
        <v>-22111.39</v>
      </c>
    </row>
    <row r="17" spans="1:10" x14ac:dyDescent="0.25">
      <c r="A17" s="38" t="s">
        <v>224</v>
      </c>
      <c r="B17" s="41">
        <f t="shared" ref="B17:J17" si="3">SUM(B8:B16)</f>
        <v>1615606.79</v>
      </c>
      <c r="C17" s="41">
        <f t="shared" si="3"/>
        <v>4417633.34</v>
      </c>
      <c r="D17" s="41">
        <f t="shared" si="3"/>
        <v>7244841.3899999997</v>
      </c>
      <c r="E17" s="41">
        <f t="shared" si="3"/>
        <v>7911141.6199999992</v>
      </c>
      <c r="F17" s="41">
        <f t="shared" si="3"/>
        <v>9659427.5</v>
      </c>
      <c r="G17" s="41">
        <f t="shared" si="3"/>
        <v>10839472.18</v>
      </c>
      <c r="H17" s="41">
        <f t="shared" si="3"/>
        <v>12712242.760000002</v>
      </c>
      <c r="I17" s="41">
        <f t="shared" si="3"/>
        <v>8727992.5099999998</v>
      </c>
      <c r="J17" s="41">
        <f t="shared" si="3"/>
        <v>63128358.089999996</v>
      </c>
    </row>
    <row r="19" spans="1:10" x14ac:dyDescent="0.25">
      <c r="A19" s="38" t="s">
        <v>283</v>
      </c>
      <c r="J19" s="39">
        <f t="shared" ref="J19:J35" si="4">SUM(B19:I19)</f>
        <v>0</v>
      </c>
    </row>
    <row r="20" spans="1:10" x14ac:dyDescent="0.25">
      <c r="A20" t="s">
        <v>313</v>
      </c>
      <c r="B20" s="39">
        <v>1244716.24</v>
      </c>
      <c r="C20" s="39">
        <v>3821573.32</v>
      </c>
      <c r="D20" s="39">
        <v>6368245.5999999996</v>
      </c>
      <c r="E20" s="39">
        <v>7185367.1200000001</v>
      </c>
      <c r="F20" s="39">
        <v>8899243.3100000005</v>
      </c>
      <c r="G20" s="39">
        <v>10161491.619999999</v>
      </c>
      <c r="H20" s="39">
        <v>11745247.939999999</v>
      </c>
      <c r="I20" s="39">
        <v>8041925.0800000001</v>
      </c>
      <c r="J20" s="39">
        <f t="shared" si="4"/>
        <v>57467810.229999997</v>
      </c>
    </row>
    <row r="21" spans="1:10" x14ac:dyDescent="0.25">
      <c r="A21" t="s">
        <v>314</v>
      </c>
      <c r="B21" s="39">
        <v>220469.8</v>
      </c>
      <c r="C21" s="39">
        <v>359444.27</v>
      </c>
      <c r="D21" s="39">
        <v>528840.88</v>
      </c>
      <c r="E21" s="39">
        <v>274773.03000000003</v>
      </c>
      <c r="F21" s="39">
        <v>264969.81</v>
      </c>
      <c r="G21" s="39">
        <v>165716.99</v>
      </c>
      <c r="H21" s="39">
        <v>318210.40000000002</v>
      </c>
      <c r="I21" s="39">
        <v>291283.06</v>
      </c>
      <c r="J21" s="39">
        <f t="shared" si="4"/>
        <v>2423708.2400000002</v>
      </c>
    </row>
    <row r="22" spans="1:10" x14ac:dyDescent="0.25">
      <c r="A22" t="s">
        <v>315</v>
      </c>
      <c r="B22" s="39">
        <v>58837.5</v>
      </c>
      <c r="C22" s="39">
        <v>16027.01</v>
      </c>
      <c r="D22" s="39">
        <v>26000.22</v>
      </c>
      <c r="E22" s="39">
        <v>51375.17</v>
      </c>
      <c r="F22" s="39">
        <v>34978.86</v>
      </c>
      <c r="G22" s="39">
        <v>13617.04</v>
      </c>
      <c r="H22" s="39">
        <v>23523.99</v>
      </c>
      <c r="I22" s="39">
        <v>22699.23</v>
      </c>
      <c r="J22" s="39">
        <f t="shared" si="4"/>
        <v>247059.02000000002</v>
      </c>
    </row>
    <row r="23" spans="1:10" x14ac:dyDescent="0.25">
      <c r="A23" t="s">
        <v>386</v>
      </c>
      <c r="B23" s="39">
        <v>0</v>
      </c>
      <c r="C23" s="39">
        <v>0</v>
      </c>
      <c r="D23" s="39">
        <v>0</v>
      </c>
      <c r="E23" s="39">
        <v>0</v>
      </c>
      <c r="F23" s="39">
        <v>2079</v>
      </c>
      <c r="G23" s="39">
        <v>2011</v>
      </c>
      <c r="H23" s="39">
        <v>4004</v>
      </c>
      <c r="I23" s="39">
        <v>2894</v>
      </c>
      <c r="J23" s="39">
        <f t="shared" si="4"/>
        <v>10988</v>
      </c>
    </row>
    <row r="24" spans="1:10" x14ac:dyDescent="0.25">
      <c r="A24" t="s">
        <v>316</v>
      </c>
      <c r="B24" s="39">
        <v>658</v>
      </c>
      <c r="C24" s="39">
        <v>1919</v>
      </c>
      <c r="D24" s="39">
        <v>477</v>
      </c>
      <c r="E24" s="39">
        <v>592.5</v>
      </c>
      <c r="F24" s="39">
        <v>1227.5</v>
      </c>
      <c r="G24" s="39">
        <v>268</v>
      </c>
      <c r="H24" s="39">
        <v>1265</v>
      </c>
      <c r="I24" s="39">
        <v>175</v>
      </c>
      <c r="J24" s="39">
        <f t="shared" si="4"/>
        <v>6582</v>
      </c>
    </row>
    <row r="25" spans="1:10" x14ac:dyDescent="0.25">
      <c r="A25" t="s">
        <v>457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350</v>
      </c>
      <c r="I25" s="39">
        <v>132.93</v>
      </c>
      <c r="J25" s="39">
        <f>SUM(B25:I25)</f>
        <v>482.93</v>
      </c>
    </row>
    <row r="26" spans="1:10" x14ac:dyDescent="0.25">
      <c r="A26" t="s">
        <v>285</v>
      </c>
      <c r="B26" s="39">
        <v>19986.22</v>
      </c>
      <c r="C26" s="39">
        <v>12338.52</v>
      </c>
      <c r="D26" s="39">
        <v>39850.800000000003</v>
      </c>
      <c r="E26" s="39">
        <v>28631.47</v>
      </c>
      <c r="F26" s="39">
        <v>35548.99</v>
      </c>
      <c r="G26" s="39">
        <v>67302.78</v>
      </c>
      <c r="H26" s="39">
        <v>60835.25</v>
      </c>
      <c r="I26" s="39">
        <v>56171.75</v>
      </c>
      <c r="J26" s="39">
        <f t="shared" si="4"/>
        <v>320665.78000000003</v>
      </c>
    </row>
    <row r="27" spans="1:10" x14ac:dyDescent="0.25">
      <c r="A27" t="s">
        <v>317</v>
      </c>
      <c r="B27" s="39">
        <v>-3444.15</v>
      </c>
      <c r="C27" s="39">
        <v>79.5</v>
      </c>
      <c r="D27" s="39">
        <v>-574</v>
      </c>
      <c r="E27" s="39">
        <v>602.98</v>
      </c>
      <c r="F27" s="39">
        <v>-2955.7</v>
      </c>
      <c r="G27" s="39">
        <v>-1504.23</v>
      </c>
      <c r="H27" s="39">
        <v>-2531.09</v>
      </c>
      <c r="I27" s="39">
        <v>-5366.91</v>
      </c>
      <c r="J27" s="39">
        <f t="shared" si="4"/>
        <v>-15693.6</v>
      </c>
    </row>
    <row r="28" spans="1:10" x14ac:dyDescent="0.25">
      <c r="A28" t="s">
        <v>438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4018.23</v>
      </c>
      <c r="I28" s="39">
        <v>0</v>
      </c>
      <c r="J28" s="39">
        <f t="shared" si="4"/>
        <v>4018.23</v>
      </c>
    </row>
    <row r="29" spans="1:10" x14ac:dyDescent="0.25">
      <c r="A29" t="s">
        <v>388</v>
      </c>
      <c r="B29" s="39">
        <v>0</v>
      </c>
      <c r="C29" s="39">
        <v>0</v>
      </c>
      <c r="D29" s="39">
        <v>0</v>
      </c>
      <c r="E29" s="39">
        <v>820.8</v>
      </c>
      <c r="F29" s="39">
        <v>0</v>
      </c>
      <c r="G29" s="39">
        <v>0</v>
      </c>
      <c r="H29" s="39">
        <v>0</v>
      </c>
      <c r="I29" s="39">
        <v>0</v>
      </c>
      <c r="J29" s="39">
        <f t="shared" si="4"/>
        <v>820.8</v>
      </c>
    </row>
    <row r="30" spans="1:10" x14ac:dyDescent="0.25">
      <c r="A30" t="s">
        <v>389</v>
      </c>
      <c r="B30" s="39">
        <v>0</v>
      </c>
      <c r="C30" s="39">
        <v>1.92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f t="shared" si="4"/>
        <v>1.92</v>
      </c>
    </row>
    <row r="31" spans="1:10" x14ac:dyDescent="0.25">
      <c r="A31" t="s">
        <v>318</v>
      </c>
      <c r="B31" s="39">
        <v>720.74</v>
      </c>
      <c r="C31" s="39">
        <f>-1643.32</f>
        <v>-1643.32</v>
      </c>
      <c r="D31" s="39">
        <v>3077.78</v>
      </c>
      <c r="E31" s="39">
        <v>0</v>
      </c>
      <c r="F31" s="39">
        <f>-173.2</f>
        <v>-173.2</v>
      </c>
      <c r="G31" s="39">
        <v>1377.51</v>
      </c>
      <c r="H31" s="39">
        <v>0</v>
      </c>
      <c r="I31" s="39">
        <v>0</v>
      </c>
      <c r="J31" s="39">
        <f t="shared" si="4"/>
        <v>3359.51</v>
      </c>
    </row>
    <row r="32" spans="1:10" x14ac:dyDescent="0.25">
      <c r="A32" t="s">
        <v>329</v>
      </c>
      <c r="B32" s="39">
        <v>0</v>
      </c>
      <c r="C32" s="39">
        <v>0</v>
      </c>
      <c r="D32" s="39">
        <v>-3.34</v>
      </c>
      <c r="E32" s="39">
        <v>0</v>
      </c>
      <c r="F32" s="39">
        <v>-38.909999999999997</v>
      </c>
      <c r="G32" s="39">
        <v>0</v>
      </c>
      <c r="H32" s="39">
        <v>-14.22</v>
      </c>
      <c r="I32" s="39">
        <v>81</v>
      </c>
      <c r="J32" s="39">
        <f t="shared" si="4"/>
        <v>24.53</v>
      </c>
    </row>
    <row r="33" spans="1:13" x14ac:dyDescent="0.25">
      <c r="A33" t="s">
        <v>387</v>
      </c>
      <c r="B33" s="39">
        <v>0</v>
      </c>
      <c r="C33" s="39">
        <v>0</v>
      </c>
      <c r="D33" s="39">
        <v>0</v>
      </c>
      <c r="E33" s="39">
        <v>0</v>
      </c>
      <c r="F33" s="39">
        <v>-4.2</v>
      </c>
      <c r="G33" s="39">
        <v>0</v>
      </c>
      <c r="H33" s="39">
        <v>-74.81</v>
      </c>
      <c r="I33" s="39">
        <v>0</v>
      </c>
      <c r="J33" s="39">
        <f t="shared" si="4"/>
        <v>-79.010000000000005</v>
      </c>
    </row>
    <row r="34" spans="1:13" x14ac:dyDescent="0.25">
      <c r="A34" t="s">
        <v>339</v>
      </c>
      <c r="B34" s="39">
        <v>34120.78</v>
      </c>
      <c r="C34" s="39">
        <v>75014.87</v>
      </c>
      <c r="D34" s="39">
        <v>138492.9</v>
      </c>
      <c r="E34" s="39">
        <v>140698.1</v>
      </c>
      <c r="F34" s="39">
        <v>179668.82</v>
      </c>
      <c r="G34" s="39">
        <v>186806.24</v>
      </c>
      <c r="H34" s="39">
        <v>212480.24</v>
      </c>
      <c r="I34" s="39">
        <v>145987.63</v>
      </c>
      <c r="J34" s="39">
        <f t="shared" si="4"/>
        <v>1113269.58</v>
      </c>
    </row>
    <row r="35" spans="1:13" x14ac:dyDescent="0.25">
      <c r="A35" t="s">
        <v>319</v>
      </c>
      <c r="B35" s="39">
        <v>38830.42</v>
      </c>
      <c r="C35" s="39">
        <v>54101.21</v>
      </c>
      <c r="D35" s="39">
        <v>74590.929999999993</v>
      </c>
      <c r="E35" s="39">
        <v>87541.119999999995</v>
      </c>
      <c r="F35" s="39">
        <v>119335.27</v>
      </c>
      <c r="G35" s="39">
        <v>112054.49</v>
      </c>
      <c r="H35" s="39">
        <v>145061.98000000001</v>
      </c>
      <c r="I35" s="39">
        <v>93104.73</v>
      </c>
      <c r="J35" s="39">
        <f t="shared" si="4"/>
        <v>724620.15</v>
      </c>
      <c r="L35" s="39"/>
      <c r="M35" s="103"/>
    </row>
    <row r="36" spans="1:13" x14ac:dyDescent="0.25">
      <c r="A36" s="38" t="s">
        <v>286</v>
      </c>
      <c r="B36" s="41">
        <f t="shared" ref="B36:J36" si="5">SUM(B20:B35)</f>
        <v>1614895.55</v>
      </c>
      <c r="C36" s="41">
        <f t="shared" si="5"/>
        <v>4338856.2999999989</v>
      </c>
      <c r="D36" s="41">
        <f t="shared" si="5"/>
        <v>7178998.7699999996</v>
      </c>
      <c r="E36" s="41">
        <f t="shared" si="5"/>
        <v>7770402.29</v>
      </c>
      <c r="F36" s="41">
        <f t="shared" si="5"/>
        <v>9533879.5500000026</v>
      </c>
      <c r="G36" s="41">
        <f t="shared" si="5"/>
        <v>10709141.439999998</v>
      </c>
      <c r="H36" s="41">
        <f t="shared" si="5"/>
        <v>12512376.91</v>
      </c>
      <c r="I36" s="41">
        <f t="shared" si="5"/>
        <v>8649087.5000000019</v>
      </c>
      <c r="J36" s="41">
        <f t="shared" si="5"/>
        <v>62307638.309999995</v>
      </c>
    </row>
    <row r="38" spans="1:13" ht="15.75" thickBot="1" x14ac:dyDescent="0.3">
      <c r="A38" s="38" t="s">
        <v>212</v>
      </c>
      <c r="B38" s="42">
        <f t="shared" ref="B38:J38" si="6">B17-B36</f>
        <v>711.23999999999069</v>
      </c>
      <c r="C38" s="42">
        <f t="shared" si="6"/>
        <v>78777.040000000969</v>
      </c>
      <c r="D38" s="42">
        <f t="shared" si="6"/>
        <v>65842.620000000112</v>
      </c>
      <c r="E38" s="42">
        <f t="shared" si="6"/>
        <v>140739.32999999914</v>
      </c>
      <c r="F38" s="42">
        <f t="shared" si="6"/>
        <v>125547.94999999739</v>
      </c>
      <c r="G38" s="42">
        <f t="shared" si="6"/>
        <v>130330.74000000209</v>
      </c>
      <c r="H38" s="42">
        <f t="shared" si="6"/>
        <v>199865.85000000149</v>
      </c>
      <c r="I38" s="42">
        <f t="shared" si="6"/>
        <v>78905.009999997914</v>
      </c>
      <c r="J38" s="42">
        <f t="shared" si="6"/>
        <v>820719.78000000119</v>
      </c>
    </row>
    <row r="40" spans="1:13" x14ac:dyDescent="0.25">
      <c r="A40" s="38" t="s">
        <v>210</v>
      </c>
    </row>
    <row r="41" spans="1:13" x14ac:dyDescent="0.25">
      <c r="A41" s="38" t="s">
        <v>292</v>
      </c>
    </row>
    <row r="42" spans="1:13" x14ac:dyDescent="0.25">
      <c r="A42" t="s">
        <v>295</v>
      </c>
      <c r="B42" s="39">
        <v>838.82</v>
      </c>
      <c r="C42" s="39">
        <v>672.84</v>
      </c>
      <c r="D42" s="39">
        <v>0</v>
      </c>
      <c r="E42" s="39">
        <v>0</v>
      </c>
      <c r="F42" s="39">
        <v>0</v>
      </c>
      <c r="G42" s="39">
        <v>0</v>
      </c>
      <c r="H42" s="39">
        <v>1208.07</v>
      </c>
      <c r="I42" s="39">
        <v>0</v>
      </c>
      <c r="J42" s="39">
        <f>SUM(B42:I42)</f>
        <v>2719.73</v>
      </c>
    </row>
    <row r="43" spans="1:13" x14ac:dyDescent="0.25">
      <c r="A43" t="s">
        <v>296</v>
      </c>
      <c r="B43" s="39">
        <v>142.41999999999999</v>
      </c>
      <c r="C43" s="39">
        <v>418.29</v>
      </c>
      <c r="D43" s="39">
        <v>418.29</v>
      </c>
      <c r="E43" s="39">
        <v>418.29</v>
      </c>
      <c r="F43" s="39">
        <v>418.29</v>
      </c>
      <c r="G43" s="39">
        <v>418.29</v>
      </c>
      <c r="H43" s="39">
        <v>418.29</v>
      </c>
      <c r="I43" s="39">
        <v>418.29</v>
      </c>
      <c r="J43" s="39">
        <f>SUM(B43:I43)</f>
        <v>3070.45</v>
      </c>
    </row>
    <row r="44" spans="1:13" x14ac:dyDescent="0.25">
      <c r="A44" s="38" t="s">
        <v>338</v>
      </c>
      <c r="B44" s="41">
        <f t="shared" ref="B44:J44" si="7">SUM(B42:B43)</f>
        <v>981.24</v>
      </c>
      <c r="C44" s="41">
        <f t="shared" si="7"/>
        <v>1091.1300000000001</v>
      </c>
      <c r="D44" s="41">
        <f t="shared" si="7"/>
        <v>418.29</v>
      </c>
      <c r="E44" s="41">
        <f t="shared" si="7"/>
        <v>418.29</v>
      </c>
      <c r="F44" s="41">
        <f>SUM(F42:F43)</f>
        <v>418.29</v>
      </c>
      <c r="G44" s="41">
        <f>SUM(G42:G43)</f>
        <v>418.29</v>
      </c>
      <c r="H44" s="41">
        <f t="shared" ref="H44" si="8">SUM(H42:H43)</f>
        <v>1626.36</v>
      </c>
      <c r="I44" s="41">
        <f t="shared" si="7"/>
        <v>418.29</v>
      </c>
      <c r="J44" s="41">
        <f t="shared" si="7"/>
        <v>5790.18</v>
      </c>
    </row>
    <row r="46" spans="1:13" x14ac:dyDescent="0.25">
      <c r="A46" s="38" t="s">
        <v>297</v>
      </c>
    </row>
    <row r="47" spans="1:13" x14ac:dyDescent="0.25">
      <c r="A47" t="s">
        <v>254</v>
      </c>
      <c r="B47" s="39">
        <v>699.09</v>
      </c>
      <c r="C47" s="39">
        <v>609.66</v>
      </c>
      <c r="D47" s="39">
        <v>670.54</v>
      </c>
      <c r="E47" s="39">
        <v>716.49</v>
      </c>
      <c r="F47" s="39">
        <v>816.61</v>
      </c>
      <c r="G47" s="39">
        <v>992.7</v>
      </c>
      <c r="H47" s="39">
        <v>1326.01</v>
      </c>
      <c r="I47" s="39">
        <v>1343.92</v>
      </c>
      <c r="J47" s="39">
        <f t="shared" ref="J47:J52" si="9">SUM(B47:I47)</f>
        <v>7175.02</v>
      </c>
    </row>
    <row r="48" spans="1:13" x14ac:dyDescent="0.25">
      <c r="A48" t="s">
        <v>258</v>
      </c>
      <c r="B48" s="39">
        <v>0</v>
      </c>
      <c r="C48" s="39">
        <v>587.5</v>
      </c>
      <c r="D48" s="39">
        <v>0</v>
      </c>
      <c r="E48" s="39">
        <v>0</v>
      </c>
      <c r="F48" s="39">
        <v>0</v>
      </c>
      <c r="G48" s="39">
        <v>99.99</v>
      </c>
      <c r="H48" s="39">
        <v>0</v>
      </c>
      <c r="I48" s="39">
        <v>225</v>
      </c>
      <c r="J48" s="39">
        <f t="shared" si="9"/>
        <v>912.49</v>
      </c>
    </row>
    <row r="49" spans="1:11" x14ac:dyDescent="0.25">
      <c r="A49" t="s">
        <v>264</v>
      </c>
      <c r="B49" s="39">
        <v>0</v>
      </c>
      <c r="C49" s="39">
        <v>0</v>
      </c>
      <c r="D49" s="39">
        <v>672.84</v>
      </c>
      <c r="E49" s="39">
        <v>672.82</v>
      </c>
      <c r="F49" s="39">
        <v>672.82</v>
      </c>
      <c r="G49" s="39">
        <v>672.82</v>
      </c>
      <c r="H49" s="39">
        <v>1390.99</v>
      </c>
      <c r="I49" s="39">
        <v>637.99</v>
      </c>
      <c r="J49" s="39">
        <f t="shared" si="9"/>
        <v>4720.28</v>
      </c>
    </row>
    <row r="50" spans="1:11" x14ac:dyDescent="0.25">
      <c r="A50" t="s">
        <v>390</v>
      </c>
      <c r="B50" s="39">
        <v>3000</v>
      </c>
      <c r="C50" s="39">
        <v>3000</v>
      </c>
      <c r="D50" s="39">
        <v>3000</v>
      </c>
      <c r="E50" s="39">
        <v>3000</v>
      </c>
      <c r="F50" s="39">
        <v>3000</v>
      </c>
      <c r="G50" s="39">
        <v>2000</v>
      </c>
      <c r="H50" s="39">
        <v>2000</v>
      </c>
      <c r="I50" s="39">
        <v>2000</v>
      </c>
      <c r="J50" s="39">
        <f t="shared" si="9"/>
        <v>21000</v>
      </c>
    </row>
    <row r="51" spans="1:11" x14ac:dyDescent="0.25">
      <c r="A51" t="s">
        <v>366</v>
      </c>
      <c r="B51" s="39">
        <v>3750</v>
      </c>
      <c r="C51" s="39">
        <v>3750</v>
      </c>
      <c r="D51" s="39">
        <v>3750</v>
      </c>
      <c r="E51" s="39">
        <v>3750</v>
      </c>
      <c r="F51" s="39">
        <v>3750</v>
      </c>
      <c r="G51" s="39">
        <v>3750</v>
      </c>
      <c r="H51" s="39">
        <v>3750</v>
      </c>
      <c r="I51" s="39">
        <v>3750</v>
      </c>
      <c r="J51" s="39">
        <f t="shared" si="9"/>
        <v>30000</v>
      </c>
    </row>
    <row r="52" spans="1:11" x14ac:dyDescent="0.25">
      <c r="A52" t="s">
        <v>391</v>
      </c>
      <c r="B52" s="39">
        <v>109</v>
      </c>
      <c r="C52" s="39">
        <v>29.99</v>
      </c>
      <c r="D52" s="39">
        <v>29.99</v>
      </c>
      <c r="E52" s="39">
        <v>29.99</v>
      </c>
      <c r="F52" s="39">
        <v>0</v>
      </c>
      <c r="G52" s="39">
        <v>29.99</v>
      </c>
      <c r="H52" s="39">
        <v>29.99</v>
      </c>
      <c r="I52" s="39">
        <v>29.99</v>
      </c>
      <c r="J52" s="39">
        <f t="shared" si="9"/>
        <v>288.94000000000005</v>
      </c>
    </row>
    <row r="53" spans="1:11" x14ac:dyDescent="0.25">
      <c r="A53" s="38" t="s">
        <v>300</v>
      </c>
      <c r="B53" s="41">
        <f t="shared" ref="B53:J53" si="10">SUM(B47:B52)</f>
        <v>7558.09</v>
      </c>
      <c r="C53" s="41">
        <f t="shared" si="10"/>
        <v>7977.15</v>
      </c>
      <c r="D53" s="41">
        <f t="shared" si="10"/>
        <v>8123.37</v>
      </c>
      <c r="E53" s="41">
        <f t="shared" si="10"/>
        <v>8169.2999999999993</v>
      </c>
      <c r="F53" s="41">
        <f>SUM(F47:F52)</f>
        <v>8239.43</v>
      </c>
      <c r="G53" s="41">
        <f>SUM(G47:G52)</f>
        <v>7545.5</v>
      </c>
      <c r="H53" s="41">
        <f t="shared" ref="H53" si="11">SUM(H47:H52)</f>
        <v>8496.99</v>
      </c>
      <c r="I53" s="41">
        <f t="shared" si="10"/>
        <v>7986.9</v>
      </c>
      <c r="J53" s="41">
        <f t="shared" si="10"/>
        <v>64096.73</v>
      </c>
    </row>
    <row r="54" spans="1:11" x14ac:dyDescent="0.25">
      <c r="A54" t="s">
        <v>247</v>
      </c>
    </row>
    <row r="55" spans="1:11" x14ac:dyDescent="0.25">
      <c r="A55" s="38" t="s">
        <v>325</v>
      </c>
    </row>
    <row r="56" spans="1:11" x14ac:dyDescent="0.25">
      <c r="A56" t="s">
        <v>326</v>
      </c>
      <c r="B56" s="39">
        <v>34022.5</v>
      </c>
      <c r="C56" s="39">
        <v>34265</v>
      </c>
      <c r="D56" s="39">
        <v>34451.25</v>
      </c>
      <c r="E56" s="39">
        <v>34845</v>
      </c>
      <c r="F56" s="39">
        <v>34565</v>
      </c>
      <c r="G56" s="39">
        <v>34906.25</v>
      </c>
      <c r="H56" s="39">
        <v>36258.75</v>
      </c>
      <c r="I56" s="39">
        <v>35423.75</v>
      </c>
      <c r="J56" s="39">
        <f>SUM(B56:I56)</f>
        <v>278737.5</v>
      </c>
    </row>
    <row r="57" spans="1:11" x14ac:dyDescent="0.25">
      <c r="A57" s="38" t="s">
        <v>392</v>
      </c>
      <c r="B57" s="39">
        <v>0</v>
      </c>
      <c r="C57" s="39">
        <v>0</v>
      </c>
      <c r="D57" s="39">
        <v>0</v>
      </c>
      <c r="E57" s="39">
        <v>0</v>
      </c>
      <c r="F57" s="39">
        <v>31752.38</v>
      </c>
      <c r="G57" s="39">
        <v>5625.56</v>
      </c>
      <c r="H57" s="39">
        <v>4645.78</v>
      </c>
      <c r="I57" s="39">
        <v>3846.94</v>
      </c>
      <c r="J57" s="39">
        <f>SUM(B57:I57)</f>
        <v>45870.66</v>
      </c>
    </row>
    <row r="58" spans="1:11" x14ac:dyDescent="0.25">
      <c r="A58" s="38" t="s">
        <v>272</v>
      </c>
      <c r="B58" s="39">
        <v>0</v>
      </c>
      <c r="C58" s="39">
        <v>0</v>
      </c>
      <c r="D58" s="39">
        <v>0</v>
      </c>
      <c r="E58" s="39">
        <v>-219.74</v>
      </c>
      <c r="F58" s="39">
        <v>-5033.32</v>
      </c>
      <c r="G58" s="39">
        <v>-1000</v>
      </c>
      <c r="H58" s="39">
        <v>-1033.33</v>
      </c>
      <c r="I58" s="39">
        <v>-1033.33</v>
      </c>
      <c r="J58" s="39">
        <f>SUM(B58:I58)</f>
        <v>-8319.7199999999993</v>
      </c>
    </row>
    <row r="59" spans="1:11" x14ac:dyDescent="0.25">
      <c r="A59" s="38" t="s">
        <v>327</v>
      </c>
      <c r="B59" s="41">
        <f>SUM(B56:B58)</f>
        <v>34022.5</v>
      </c>
      <c r="C59" s="41">
        <f t="shared" ref="C59:J59" si="12">SUM(C56:C58)</f>
        <v>34265</v>
      </c>
      <c r="D59" s="41">
        <f t="shared" si="12"/>
        <v>34451.25</v>
      </c>
      <c r="E59" s="41">
        <f t="shared" si="12"/>
        <v>34625.26</v>
      </c>
      <c r="F59" s="41">
        <f>SUM(F56:F58)</f>
        <v>61284.060000000005</v>
      </c>
      <c r="G59" s="41">
        <f>SUM(G56:G58)</f>
        <v>39531.81</v>
      </c>
      <c r="H59" s="41">
        <f t="shared" ref="H59" si="13">SUM(H56:H58)</f>
        <v>39871.199999999997</v>
      </c>
      <c r="I59" s="41">
        <f t="shared" si="12"/>
        <v>38237.360000000001</v>
      </c>
      <c r="J59" s="41">
        <f t="shared" si="12"/>
        <v>316288.44000000006</v>
      </c>
    </row>
    <row r="61" spans="1:11" ht="15.75" thickBot="1" x14ac:dyDescent="0.3">
      <c r="A61" s="38" t="s">
        <v>211</v>
      </c>
      <c r="B61" s="42">
        <f t="shared" ref="B61:J61" si="14">B44+B53+B59</f>
        <v>42561.83</v>
      </c>
      <c r="C61" s="42">
        <f t="shared" si="14"/>
        <v>43333.279999999999</v>
      </c>
      <c r="D61" s="42">
        <f t="shared" si="14"/>
        <v>42992.91</v>
      </c>
      <c r="E61" s="42">
        <f t="shared" si="14"/>
        <v>43212.850000000006</v>
      </c>
      <c r="F61" s="42">
        <f>F44+F53+F59</f>
        <v>69941.78</v>
      </c>
      <c r="G61" s="42">
        <f>G44+G53+G59</f>
        <v>47495.6</v>
      </c>
      <c r="H61" s="42">
        <f t="shared" ref="H61" si="15">H44+H53+H59</f>
        <v>49994.549999999996</v>
      </c>
      <c r="I61" s="42">
        <f t="shared" si="14"/>
        <v>46642.55</v>
      </c>
      <c r="J61" s="42">
        <f t="shared" si="14"/>
        <v>386175.35000000009</v>
      </c>
    </row>
    <row r="63" spans="1:11" ht="15.75" thickBot="1" x14ac:dyDescent="0.3">
      <c r="A63" s="38" t="s">
        <v>304</v>
      </c>
      <c r="B63" s="43">
        <f t="shared" ref="B63:J63" si="16">B38-B61</f>
        <v>-41850.590000000011</v>
      </c>
      <c r="C63" s="43">
        <f t="shared" si="16"/>
        <v>35443.76000000097</v>
      </c>
      <c r="D63" s="43">
        <f t="shared" si="16"/>
        <v>22849.710000000108</v>
      </c>
      <c r="E63" s="43">
        <f t="shared" si="16"/>
        <v>97526.479999999137</v>
      </c>
      <c r="F63" s="43">
        <f>F38-F61</f>
        <v>55606.169999997393</v>
      </c>
      <c r="G63" s="43">
        <f>G38-G61</f>
        <v>82835.14000000208</v>
      </c>
      <c r="H63" s="43">
        <f t="shared" ref="H63" si="17">H38-H61</f>
        <v>149871.3000000015</v>
      </c>
      <c r="I63" s="43">
        <f t="shared" si="16"/>
        <v>32262.459999997911</v>
      </c>
      <c r="J63" s="43">
        <f t="shared" si="16"/>
        <v>434544.4300000011</v>
      </c>
      <c r="K63"/>
    </row>
    <row r="64" spans="1:11" ht="15.75" thickTop="1" x14ac:dyDescent="0.25"/>
  </sheetData>
  <mergeCells count="3">
    <mergeCell ref="A1:J1"/>
    <mergeCell ref="A2:J2"/>
    <mergeCell ref="A3:J3"/>
  </mergeCells>
  <pageMargins left="0.7" right="0.7" top="0.75" bottom="0.75" header="0.3" footer="0.3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K21"/>
  <sheetViews>
    <sheetView zoomScaleNormal="100" workbookViewId="0">
      <pane ySplit="6" topLeftCell="A7" activePane="bottomLeft" state="frozen"/>
      <selection activeCell="C24" sqref="C24"/>
      <selection pane="bottomLeft" activeCell="J30" sqref="J30"/>
    </sheetView>
  </sheetViews>
  <sheetFormatPr defaultRowHeight="15" x14ac:dyDescent="0.25"/>
  <cols>
    <col min="1" max="1" width="41.28515625" bestFit="1" customWidth="1"/>
    <col min="2" max="9" width="13.28515625" style="39" bestFit="1" customWidth="1"/>
    <col min="10" max="10" width="14.28515625" style="39" bestFit="1" customWidth="1"/>
    <col min="11" max="11" width="9.140625" style="39" customWidth="1"/>
  </cols>
  <sheetData>
    <row r="1" spans="1:10" x14ac:dyDescent="0.25">
      <c r="A1" s="269" t="s">
        <v>331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x14ac:dyDescent="0.25">
      <c r="A2" s="269" t="s">
        <v>278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x14ac:dyDescent="0.25">
      <c r="A3" s="269">
        <v>2018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5">
      <c r="B6" s="44" t="s">
        <v>305</v>
      </c>
      <c r="C6" s="44" t="s">
        <v>306</v>
      </c>
      <c r="D6" s="44" t="s">
        <v>307</v>
      </c>
      <c r="E6" s="44" t="s">
        <v>308</v>
      </c>
      <c r="F6" s="44" t="s">
        <v>384</v>
      </c>
      <c r="G6" s="44" t="s">
        <v>427</v>
      </c>
      <c r="H6" s="44" t="s">
        <v>452</v>
      </c>
      <c r="I6" s="44" t="s">
        <v>465</v>
      </c>
      <c r="J6" s="44" t="s">
        <v>208</v>
      </c>
    </row>
    <row r="8" spans="1:10" s="39" customFormat="1" x14ac:dyDescent="0.25">
      <c r="A8" s="38" t="s">
        <v>297</v>
      </c>
    </row>
    <row r="9" spans="1:10" s="39" customFormat="1" x14ac:dyDescent="0.25">
      <c r="A9" t="s">
        <v>254</v>
      </c>
      <c r="B9" s="39">
        <v>218.79</v>
      </c>
      <c r="C9" s="39">
        <v>218.72</v>
      </c>
      <c r="D9" s="39">
        <v>219.51</v>
      </c>
      <c r="E9" s="39">
        <v>218.41</v>
      </c>
      <c r="F9" s="39">
        <v>216.38</v>
      </c>
      <c r="G9" s="39">
        <v>185.13</v>
      </c>
      <c r="H9" s="39">
        <v>185.13</v>
      </c>
      <c r="I9" s="39">
        <v>185.13</v>
      </c>
      <c r="J9" s="39">
        <f>SUM(B9:I9)</f>
        <v>1647.2000000000003</v>
      </c>
    </row>
    <row r="10" spans="1:10" s="39" customFormat="1" x14ac:dyDescent="0.25">
      <c r="A10" t="s">
        <v>332</v>
      </c>
      <c r="B10" s="39">
        <v>109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f>SUM(B10:I10)</f>
        <v>109</v>
      </c>
    </row>
    <row r="11" spans="1:10" s="39" customFormat="1" x14ac:dyDescent="0.25">
      <c r="A11" t="s">
        <v>367</v>
      </c>
      <c r="B11" s="39">
        <v>0</v>
      </c>
      <c r="C11" s="39">
        <v>0</v>
      </c>
      <c r="D11" s="39">
        <v>0</v>
      </c>
      <c r="E11" s="39">
        <v>0</v>
      </c>
      <c r="F11" s="39">
        <v>1250</v>
      </c>
      <c r="G11" s="39">
        <v>1250</v>
      </c>
      <c r="H11" s="39">
        <v>1250</v>
      </c>
      <c r="I11" s="39">
        <v>3750</v>
      </c>
      <c r="J11" s="39">
        <f>SUM(B11:I11)</f>
        <v>7500</v>
      </c>
    </row>
    <row r="12" spans="1:10" s="39" customFormat="1" x14ac:dyDescent="0.25">
      <c r="A12" t="s">
        <v>434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270</v>
      </c>
      <c r="H12" s="39">
        <v>384.17</v>
      </c>
      <c r="I12" s="39">
        <v>384.17</v>
      </c>
      <c r="J12" s="39">
        <f>SUM(B12:I12)</f>
        <v>1038.3400000000001</v>
      </c>
    </row>
    <row r="13" spans="1:10" s="39" customFormat="1" x14ac:dyDescent="0.25">
      <c r="A13" s="38" t="s">
        <v>300</v>
      </c>
      <c r="B13" s="41">
        <f>SUM(B9:B12)</f>
        <v>327.78999999999996</v>
      </c>
      <c r="C13" s="41">
        <f t="shared" ref="C13:J13" si="0">SUM(C9:C12)</f>
        <v>218.72</v>
      </c>
      <c r="D13" s="41">
        <f t="shared" si="0"/>
        <v>219.51</v>
      </c>
      <c r="E13" s="41">
        <f t="shared" si="0"/>
        <v>218.41</v>
      </c>
      <c r="F13" s="41">
        <f t="shared" si="0"/>
        <v>1466.38</v>
      </c>
      <c r="G13" s="41">
        <f t="shared" si="0"/>
        <v>1705.13</v>
      </c>
      <c r="H13" s="41">
        <f t="shared" si="0"/>
        <v>1819.3000000000002</v>
      </c>
      <c r="I13" s="41">
        <f t="shared" si="0"/>
        <v>4319.3</v>
      </c>
      <c r="J13" s="41">
        <f t="shared" si="0"/>
        <v>10294.540000000001</v>
      </c>
    </row>
    <row r="14" spans="1:10" s="39" customFormat="1" x14ac:dyDescent="0.25">
      <c r="A14" t="s">
        <v>247</v>
      </c>
    </row>
    <row r="15" spans="1:10" s="39" customFormat="1" x14ac:dyDescent="0.25">
      <c r="A15" s="38" t="s">
        <v>325</v>
      </c>
    </row>
    <row r="16" spans="1:10" s="39" customFormat="1" x14ac:dyDescent="0.25">
      <c r="A16" t="s">
        <v>272</v>
      </c>
      <c r="B16" s="39">
        <v>3744.3</v>
      </c>
      <c r="C16" s="39">
        <v>2815.01</v>
      </c>
      <c r="D16" s="39">
        <v>3116.6</v>
      </c>
      <c r="E16" s="39">
        <v>2687.25</v>
      </c>
      <c r="F16" s="39">
        <v>3286.89</v>
      </c>
      <c r="G16" s="39">
        <v>5798.93</v>
      </c>
      <c r="H16" s="39">
        <v>5986.2</v>
      </c>
      <c r="I16" s="39">
        <v>8330.66</v>
      </c>
      <c r="J16" s="39">
        <f>SUM(B16:I16)</f>
        <v>35765.839999999997</v>
      </c>
    </row>
    <row r="17" spans="1:11" s="39" customFormat="1" x14ac:dyDescent="0.25">
      <c r="A17" t="s">
        <v>273</v>
      </c>
      <c r="B17" s="39">
        <v>-881.76</v>
      </c>
      <c r="C17" s="39">
        <v>-506.4</v>
      </c>
      <c r="D17" s="39">
        <v>-560.66</v>
      </c>
      <c r="E17" s="39">
        <v>-542.57000000000005</v>
      </c>
      <c r="F17" s="39">
        <v>-280.69</v>
      </c>
      <c r="G17" s="39">
        <v>-562.42999999999995</v>
      </c>
      <c r="H17" s="39">
        <v>-581.17999999999995</v>
      </c>
      <c r="I17" s="39">
        <v>-554.73</v>
      </c>
      <c r="J17" s="39">
        <f>SUM(B17:I17)</f>
        <v>-4470.42</v>
      </c>
    </row>
    <row r="18" spans="1:11" s="39" customFormat="1" x14ac:dyDescent="0.25">
      <c r="A18" s="38" t="s">
        <v>327</v>
      </c>
      <c r="B18" s="41">
        <f t="shared" ref="B18:J18" si="1">SUM(B16:B17)</f>
        <v>2862.54</v>
      </c>
      <c r="C18" s="41">
        <f t="shared" si="1"/>
        <v>2308.61</v>
      </c>
      <c r="D18" s="41">
        <f t="shared" si="1"/>
        <v>2555.94</v>
      </c>
      <c r="E18" s="41">
        <f t="shared" si="1"/>
        <v>2144.6799999999998</v>
      </c>
      <c r="F18" s="41">
        <f t="shared" si="1"/>
        <v>3006.2</v>
      </c>
      <c r="G18" s="41">
        <f t="shared" si="1"/>
        <v>5236.5</v>
      </c>
      <c r="H18" s="41">
        <f t="shared" si="1"/>
        <v>5405.0199999999995</v>
      </c>
      <c r="I18" s="41">
        <f t="shared" si="1"/>
        <v>7775.93</v>
      </c>
      <c r="J18" s="41">
        <f t="shared" si="1"/>
        <v>31295.42</v>
      </c>
    </row>
    <row r="20" spans="1:11" ht="15.75" thickBot="1" x14ac:dyDescent="0.3">
      <c r="A20" s="38" t="s">
        <v>304</v>
      </c>
      <c r="B20" s="43">
        <f t="shared" ref="B20:J20" si="2">B18-B13</f>
        <v>2534.75</v>
      </c>
      <c r="C20" s="43">
        <f t="shared" si="2"/>
        <v>2089.8900000000003</v>
      </c>
      <c r="D20" s="43">
        <f t="shared" si="2"/>
        <v>2336.4300000000003</v>
      </c>
      <c r="E20" s="43">
        <f t="shared" si="2"/>
        <v>1926.2699999999998</v>
      </c>
      <c r="F20" s="43">
        <f t="shared" si="2"/>
        <v>1539.8199999999997</v>
      </c>
      <c r="G20" s="43">
        <f t="shared" si="2"/>
        <v>3531.37</v>
      </c>
      <c r="H20" s="43">
        <f t="shared" si="2"/>
        <v>3585.7199999999993</v>
      </c>
      <c r="I20" s="43">
        <f t="shared" si="2"/>
        <v>3456.63</v>
      </c>
      <c r="J20" s="43">
        <f t="shared" si="2"/>
        <v>21000.879999999997</v>
      </c>
      <c r="K20"/>
    </row>
    <row r="21" spans="1:11" ht="15.75" thickTop="1" x14ac:dyDescent="0.25"/>
  </sheetData>
  <mergeCells count="3">
    <mergeCell ref="A1:J1"/>
    <mergeCell ref="A2:J2"/>
    <mergeCell ref="A3:J3"/>
  </mergeCell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Cooley</vt:lpstr>
      <vt:lpstr>Cover Sheet</vt:lpstr>
      <vt:lpstr>Summary YTD 08.31.18 (condensd)</vt:lpstr>
      <vt:lpstr>Summary YTD 08.31.18</vt:lpstr>
      <vt:lpstr>Comp Summary YTD 2018-2017 Aug</vt:lpstr>
      <vt:lpstr>Comparative YTD 2018-2017 Aug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Aug'!Print_Area</vt:lpstr>
      <vt:lpstr>'Comparative YTD 2018-2017 Aug'!Print_Area</vt:lpstr>
      <vt:lpstr>Cooley!Print_Area</vt:lpstr>
      <vt:lpstr>DEP!Print_Area</vt:lpstr>
      <vt:lpstr>'Oliari Co.'!Print_Area</vt:lpstr>
      <vt:lpstr>'Summary YTD 08.31.18'!Print_Area</vt:lpstr>
      <vt:lpstr>'Summary YTD 08.31.18 (condensd)'!Print_Area</vt:lpstr>
      <vt:lpstr>CNT!Print_Titles</vt:lpstr>
      <vt:lpstr>'Comp Summary YTD 2018-2017 Aug'!Print_Titles</vt:lpstr>
      <vt:lpstr>'Comparative YTD 2018-2017 Aug'!Print_Titles</vt:lpstr>
      <vt:lpstr>'Summary YTD 08.31.18'!Print_Titles</vt:lpstr>
      <vt:lpstr>'Summary YTD 08.31.18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Accounting User</cp:lastModifiedBy>
  <cp:lastPrinted>2018-09-19T15:51:52Z</cp:lastPrinted>
  <dcterms:created xsi:type="dcterms:W3CDTF">2018-05-13T15:03:39Z</dcterms:created>
  <dcterms:modified xsi:type="dcterms:W3CDTF">2018-09-27T12:36:26Z</dcterms:modified>
</cp:coreProperties>
</file>