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4B8B163D-61CB-4755-B4A2-D3C4CC104748}" xr6:coauthVersionLast="36" xr6:coauthVersionMax="36" xr10:uidLastSave="{00000000-0000-0000-0000-000000000000}"/>
  <bookViews>
    <workbookView xWindow="0" yWindow="0" windowWidth="24000" windowHeight="9615" xr2:uid="{B5677E00-C93E-46D9-A581-8329D76220FA}"/>
  </bookViews>
  <sheets>
    <sheet name="Summary YTD 04.30.18" sheetId="1" r:id="rId1"/>
    <sheet name="Comparative YTD 2018-2017 April" sheetId="8" r:id="rId2"/>
    <sheet name="CNT (from FS Analysis)" sheetId="2" r:id="rId3"/>
    <sheet name="CNT (G.P. by Metal)" sheetId="3" r:id="rId4"/>
    <sheet name="DEP" sheetId="5" r:id="rId5"/>
    <sheet name="BPM" sheetId="6" r:id="rId6"/>
    <sheet name="Lending" sheetId="7" r:id="rId7"/>
    <sheet name="BSC (Dome)" sheetId="10" r:id="rId8"/>
    <sheet name="Sheet1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2">'CNT (from FS Analysis)'!$A$1:$Q$249</definedName>
    <definedName name="_xlnm.Print_Area" localSheetId="3">'CNT (G.P. by Metal)'!$A$186:$A$256</definedName>
    <definedName name="_xlnm.Print_Area" localSheetId="1">'Comparative YTD 2018-2017 April'!$A$1:$W$107</definedName>
    <definedName name="_xlnm.Print_Titles" localSheetId="2">'CNT (from FS Analysis)'!$A:$A,'CNT (from FS Analysis)'!$1:$3</definedName>
    <definedName name="_xlnm.Print_Titles" localSheetId="1">'Comparative YTD 2018-2017 April'!$5:$14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6" i="10" l="1"/>
  <c r="G77" i="10"/>
  <c r="G78" i="10"/>
  <c r="G79" i="10"/>
  <c r="G75" i="10"/>
  <c r="G60" i="10"/>
  <c r="G61" i="10"/>
  <c r="G62" i="10"/>
  <c r="G63" i="10"/>
  <c r="G64" i="10"/>
  <c r="G65" i="10"/>
  <c r="G66" i="10"/>
  <c r="G67" i="10"/>
  <c r="G68" i="10"/>
  <c r="G69" i="10"/>
  <c r="G59" i="10"/>
  <c r="G55" i="10"/>
  <c r="G36" i="10"/>
  <c r="G37" i="10"/>
  <c r="G38" i="10"/>
  <c r="G39" i="10"/>
  <c r="G40" i="10"/>
  <c r="G42" i="10"/>
  <c r="G44" i="10"/>
  <c r="G45" i="10"/>
  <c r="G46" i="10"/>
  <c r="G47" i="10"/>
  <c r="G48" i="10"/>
  <c r="G49" i="10"/>
  <c r="G50" i="10"/>
  <c r="G51" i="10"/>
  <c r="G52" i="10"/>
  <c r="G53" i="10"/>
  <c r="G54" i="10"/>
  <c r="G35" i="10"/>
  <c r="G26" i="10"/>
  <c r="G27" i="10"/>
  <c r="G28" i="10"/>
  <c r="G29" i="10"/>
  <c r="G30" i="10"/>
  <c r="G31" i="10"/>
  <c r="G24" i="10"/>
  <c r="G17" i="10"/>
  <c r="G18" i="10" s="1"/>
  <c r="G9" i="10"/>
  <c r="G11" i="10"/>
  <c r="G12" i="10"/>
  <c r="G13" i="10"/>
  <c r="G8" i="10"/>
  <c r="F80" i="10"/>
  <c r="F70" i="10"/>
  <c r="F56" i="10"/>
  <c r="F32" i="10"/>
  <c r="F18" i="10"/>
  <c r="F14" i="10"/>
  <c r="F20" i="10" s="1"/>
  <c r="F72" i="10" l="1"/>
  <c r="F82" i="10" s="1"/>
  <c r="G102" i="1" l="1"/>
  <c r="F74" i="1"/>
  <c r="G74" i="1" s="1"/>
  <c r="G75" i="1"/>
  <c r="F32" i="1"/>
  <c r="F95" i="1"/>
  <c r="F96" i="1"/>
  <c r="F90" i="1"/>
  <c r="F80" i="1"/>
  <c r="G80" i="1" s="1"/>
  <c r="F76" i="1"/>
  <c r="F79" i="1"/>
  <c r="F71" i="1"/>
  <c r="F70" i="1"/>
  <c r="F69" i="1"/>
  <c r="F72" i="1"/>
  <c r="F51" i="1"/>
  <c r="G51" i="1" s="1"/>
  <c r="F55" i="1"/>
  <c r="G55" i="1" s="1"/>
  <c r="F65" i="1"/>
  <c r="F64" i="1"/>
  <c r="G64" i="1" s="1"/>
  <c r="F63" i="1"/>
  <c r="F62" i="1"/>
  <c r="F58" i="1"/>
  <c r="F57" i="1"/>
  <c r="F54" i="1"/>
  <c r="F52" i="1"/>
  <c r="F49" i="1"/>
  <c r="F48" i="1"/>
  <c r="F47" i="1"/>
  <c r="G47" i="1" s="1"/>
  <c r="F45" i="1"/>
  <c r="F46" i="1"/>
  <c r="F44" i="1"/>
  <c r="F38" i="1"/>
  <c r="F37" i="1"/>
  <c r="F36" i="1"/>
  <c r="F35" i="1"/>
  <c r="F24" i="1"/>
  <c r="O103" i="8"/>
  <c r="O98" i="8"/>
  <c r="O80" i="8"/>
  <c r="W72" i="8"/>
  <c r="P72" i="8"/>
  <c r="P73" i="8"/>
  <c r="O59" i="8"/>
  <c r="O63" i="8"/>
  <c r="P63" i="8" s="1"/>
  <c r="O58" i="8"/>
  <c r="O40" i="8"/>
  <c r="G110" i="8"/>
  <c r="F103" i="8"/>
  <c r="F104" i="8"/>
  <c r="F98" i="8"/>
  <c r="F84" i="8"/>
  <c r="F88" i="8"/>
  <c r="F87" i="8"/>
  <c r="F79" i="8"/>
  <c r="G79" i="8" s="1"/>
  <c r="P79" i="8"/>
  <c r="F82" i="8"/>
  <c r="G82" i="8" s="1"/>
  <c r="P83" i="8"/>
  <c r="G83" i="8"/>
  <c r="P82" i="8"/>
  <c r="F78" i="8"/>
  <c r="F77" i="8"/>
  <c r="F80" i="8"/>
  <c r="P59" i="8"/>
  <c r="F55" i="8"/>
  <c r="E43" i="10"/>
  <c r="E10" i="10"/>
  <c r="G10" i="10" s="1"/>
  <c r="G14" i="10" s="1"/>
  <c r="G20" i="10" s="1"/>
  <c r="D43" i="10"/>
  <c r="D41" i="10"/>
  <c r="F59" i="8"/>
  <c r="G59" i="8" s="1"/>
  <c r="F72" i="8"/>
  <c r="G72" i="8" s="1"/>
  <c r="C43" i="10"/>
  <c r="F53" i="8"/>
  <c r="F56" i="8"/>
  <c r="F60" i="8"/>
  <c r="F62" i="8"/>
  <c r="F69" i="8"/>
  <c r="G69" i="8" s="1"/>
  <c r="B43" i="10"/>
  <c r="G41" i="10" l="1"/>
  <c r="F50" i="1" s="1"/>
  <c r="S72" i="8"/>
  <c r="O74" i="8"/>
  <c r="G43" i="10"/>
  <c r="F56" i="1" s="1"/>
  <c r="G56" i="1" s="1"/>
  <c r="U79" i="8"/>
  <c r="W79" i="8" s="1"/>
  <c r="S79" i="8"/>
  <c r="S82" i="8"/>
  <c r="U82" i="8"/>
  <c r="W82" i="8" s="1"/>
  <c r="U83" i="8"/>
  <c r="W83" i="8" s="1"/>
  <c r="S83" i="8"/>
  <c r="U59" i="8"/>
  <c r="W59" i="8" s="1"/>
  <c r="S59" i="8"/>
  <c r="F63" i="8"/>
  <c r="G63" i="8" s="1"/>
  <c r="U63" i="8" s="1"/>
  <c r="W63" i="8" s="1"/>
  <c r="F46" i="8"/>
  <c r="F58" i="8" l="1"/>
  <c r="S63" i="8"/>
  <c r="B25" i="10" l="1"/>
  <c r="E80" i="10"/>
  <c r="D80" i="10"/>
  <c r="C80" i="10"/>
  <c r="B80" i="10"/>
  <c r="E70" i="10"/>
  <c r="D70" i="10"/>
  <c r="C70" i="10"/>
  <c r="B70" i="10"/>
  <c r="E56" i="10"/>
  <c r="B56" i="10"/>
  <c r="F73" i="8"/>
  <c r="F64" i="8"/>
  <c r="F54" i="8"/>
  <c r="D56" i="10"/>
  <c r="C56" i="10"/>
  <c r="F52" i="8"/>
  <c r="E32" i="10"/>
  <c r="D32" i="10"/>
  <c r="C32" i="10"/>
  <c r="F45" i="8"/>
  <c r="F44" i="8"/>
  <c r="F43" i="8"/>
  <c r="F40" i="8"/>
  <c r="G23" i="10"/>
  <c r="E18" i="10"/>
  <c r="D18" i="10"/>
  <c r="C18" i="10"/>
  <c r="B18" i="10"/>
  <c r="F32" i="8"/>
  <c r="E14" i="10"/>
  <c r="D14" i="10"/>
  <c r="C14" i="10"/>
  <c r="B14" i="10"/>
  <c r="B32" i="10" l="1"/>
  <c r="G25" i="10"/>
  <c r="F34" i="1" s="1"/>
  <c r="F73" i="1"/>
  <c r="F81" i="8"/>
  <c r="F67" i="8"/>
  <c r="F60" i="1"/>
  <c r="C72" i="10"/>
  <c r="D72" i="10"/>
  <c r="G80" i="10"/>
  <c r="D20" i="10"/>
  <c r="E20" i="10"/>
  <c r="G70" i="10"/>
  <c r="G56" i="10"/>
  <c r="B72" i="10"/>
  <c r="E72" i="10"/>
  <c r="C20" i="10"/>
  <c r="B20" i="10"/>
  <c r="F14" i="1"/>
  <c r="G32" i="10" l="1"/>
  <c r="G72" i="10" s="1"/>
  <c r="F42" i="8"/>
  <c r="F49" i="8" s="1"/>
  <c r="F22" i="8"/>
  <c r="F23" i="8" s="1"/>
  <c r="E82" i="10"/>
  <c r="D82" i="10"/>
  <c r="C82" i="10"/>
  <c r="B82" i="10"/>
  <c r="W73" i="8"/>
  <c r="S100" i="8"/>
  <c r="N49" i="8"/>
  <c r="M98" i="8"/>
  <c r="M105" i="8" s="1"/>
  <c r="M52" i="8"/>
  <c r="M74" i="8" s="1"/>
  <c r="M32" i="8"/>
  <c r="M22" i="8"/>
  <c r="M23" i="8" s="1"/>
  <c r="L32" i="8"/>
  <c r="L29" i="8"/>
  <c r="L28" i="8"/>
  <c r="L27" i="8"/>
  <c r="L26" i="8"/>
  <c r="L22" i="8"/>
  <c r="L17" i="8"/>
  <c r="K98" i="8"/>
  <c r="K105" i="8" s="1"/>
  <c r="P88" i="8"/>
  <c r="G88" i="8"/>
  <c r="P55" i="8"/>
  <c r="G55" i="8"/>
  <c r="K52" i="8"/>
  <c r="K74" i="8" s="1"/>
  <c r="K46" i="8"/>
  <c r="P46" i="8" s="1"/>
  <c r="K27" i="8"/>
  <c r="K26" i="8"/>
  <c r="K32" i="8"/>
  <c r="K30" i="8"/>
  <c r="P30" i="8" s="1"/>
  <c r="K29" i="8"/>
  <c r="K28" i="8"/>
  <c r="K22" i="8"/>
  <c r="K20" i="8"/>
  <c r="K19" i="8"/>
  <c r="K18" i="8"/>
  <c r="P18" i="8" s="1"/>
  <c r="K17" i="8"/>
  <c r="K16" i="8"/>
  <c r="P16" i="8" s="1"/>
  <c r="P106" i="8"/>
  <c r="O105" i="8"/>
  <c r="L105" i="8"/>
  <c r="P104" i="8"/>
  <c r="P103" i="8"/>
  <c r="N105" i="8"/>
  <c r="P102" i="8"/>
  <c r="P101" i="8"/>
  <c r="P99" i="8"/>
  <c r="P94" i="8"/>
  <c r="O93" i="8"/>
  <c r="P92" i="8"/>
  <c r="P91" i="8"/>
  <c r="P90" i="8"/>
  <c r="P89" i="8"/>
  <c r="P87" i="8"/>
  <c r="P86" i="8"/>
  <c r="P85" i="8"/>
  <c r="P84" i="8"/>
  <c r="P81" i="8"/>
  <c r="P80" i="8"/>
  <c r="N93" i="8"/>
  <c r="L93" i="8"/>
  <c r="K93" i="8"/>
  <c r="P77" i="8"/>
  <c r="M93" i="8"/>
  <c r="N74" i="8"/>
  <c r="P71" i="8"/>
  <c r="P70" i="8"/>
  <c r="P68" i="8"/>
  <c r="P67" i="8"/>
  <c r="P66" i="8"/>
  <c r="P65" i="8"/>
  <c r="P64" i="8"/>
  <c r="P62" i="8"/>
  <c r="P61" i="8"/>
  <c r="P60" i="8"/>
  <c r="L74" i="8"/>
  <c r="P58" i="8"/>
  <c r="P57" i="8"/>
  <c r="P56" i="8"/>
  <c r="P54" i="8"/>
  <c r="P53" i="8"/>
  <c r="O49" i="8"/>
  <c r="L49" i="8"/>
  <c r="P48" i="8"/>
  <c r="P47" i="8"/>
  <c r="P45" i="8"/>
  <c r="P44" i="8"/>
  <c r="P43" i="8"/>
  <c r="P42" i="8"/>
  <c r="P41" i="8"/>
  <c r="M49" i="8"/>
  <c r="P39" i="8"/>
  <c r="P38" i="8"/>
  <c r="P37" i="8"/>
  <c r="P36" i="8"/>
  <c r="P34" i="8"/>
  <c r="O33" i="8"/>
  <c r="N33" i="8"/>
  <c r="M33" i="8"/>
  <c r="P31" i="8"/>
  <c r="P25" i="8"/>
  <c r="P24" i="8"/>
  <c r="O23" i="8"/>
  <c r="N23" i="8"/>
  <c r="P21" i="8"/>
  <c r="P20" i="8"/>
  <c r="P19" i="8"/>
  <c r="G106" i="8"/>
  <c r="F105" i="8"/>
  <c r="G94" i="8"/>
  <c r="F93" i="8"/>
  <c r="D89" i="8"/>
  <c r="C89" i="8"/>
  <c r="C87" i="8"/>
  <c r="C86" i="8"/>
  <c r="F74" i="8"/>
  <c r="E74" i="8"/>
  <c r="E49" i="8"/>
  <c r="C49" i="8"/>
  <c r="G39" i="8"/>
  <c r="G38" i="8"/>
  <c r="G37" i="8"/>
  <c r="G36" i="8"/>
  <c r="G34" i="8"/>
  <c r="F33" i="8"/>
  <c r="E33" i="8"/>
  <c r="C31" i="8"/>
  <c r="C30" i="8"/>
  <c r="C29" i="8"/>
  <c r="G25" i="8"/>
  <c r="G24" i="8"/>
  <c r="E23" i="8"/>
  <c r="C20" i="8"/>
  <c r="G82" i="10" l="1"/>
  <c r="S55" i="8"/>
  <c r="P98" i="8"/>
  <c r="P29" i="8"/>
  <c r="L23" i="8"/>
  <c r="U55" i="8"/>
  <c r="W55" i="8" s="1"/>
  <c r="S88" i="8"/>
  <c r="F95" i="8"/>
  <c r="E35" i="8"/>
  <c r="L33" i="8"/>
  <c r="L35" i="8" s="1"/>
  <c r="U88" i="8"/>
  <c r="P32" i="8"/>
  <c r="N35" i="8"/>
  <c r="P22" i="8"/>
  <c r="P27" i="8"/>
  <c r="P17" i="8"/>
  <c r="F35" i="8"/>
  <c r="K49" i="8"/>
  <c r="P49" i="8" s="1"/>
  <c r="Q42" i="8" s="1"/>
  <c r="P93" i="8"/>
  <c r="Q79" i="8" s="1"/>
  <c r="P74" i="8"/>
  <c r="Q72" i="8" s="1"/>
  <c r="O95" i="8"/>
  <c r="N95" i="8"/>
  <c r="O35" i="8"/>
  <c r="K33" i="8"/>
  <c r="M35" i="8"/>
  <c r="L95" i="8"/>
  <c r="P105" i="8"/>
  <c r="M95" i="8"/>
  <c r="K23" i="8"/>
  <c r="P28" i="8"/>
  <c r="P78" i="8"/>
  <c r="P40" i="8"/>
  <c r="P52" i="8"/>
  <c r="P26" i="8"/>
  <c r="B16" i="7"/>
  <c r="C16" i="7"/>
  <c r="C18" i="7" s="1"/>
  <c r="E16" i="7"/>
  <c r="D16" i="7"/>
  <c r="F15" i="7"/>
  <c r="E103" i="8" s="1"/>
  <c r="F14" i="7"/>
  <c r="E102" i="8" s="1"/>
  <c r="E11" i="7"/>
  <c r="D11" i="7"/>
  <c r="C11" i="7"/>
  <c r="B11" i="7"/>
  <c r="F10" i="7"/>
  <c r="E80" i="8" s="1"/>
  <c r="F9" i="7"/>
  <c r="E78" i="8" s="1"/>
  <c r="E93" i="8" s="1"/>
  <c r="E95" i="8" s="1"/>
  <c r="C81" i="1"/>
  <c r="C79" i="1"/>
  <c r="C78" i="1"/>
  <c r="C76" i="1"/>
  <c r="C23" i="1"/>
  <c r="C22" i="1"/>
  <c r="C21" i="1"/>
  <c r="C12" i="1"/>
  <c r="C48" i="6"/>
  <c r="D48" i="6"/>
  <c r="E48" i="6"/>
  <c r="B48" i="6"/>
  <c r="F47" i="6"/>
  <c r="C102" i="8" s="1"/>
  <c r="F40" i="6"/>
  <c r="C84" i="8" s="1"/>
  <c r="E43" i="6"/>
  <c r="F42" i="6"/>
  <c r="C73" i="8" s="1"/>
  <c r="C43" i="6"/>
  <c r="D43" i="6"/>
  <c r="B43" i="6"/>
  <c r="F24" i="6"/>
  <c r="C65" i="1" l="1"/>
  <c r="C94" i="1"/>
  <c r="D18" i="7"/>
  <c r="E70" i="1"/>
  <c r="B18" i="7"/>
  <c r="E18" i="7"/>
  <c r="E72" i="1"/>
  <c r="Q83" i="8"/>
  <c r="Q82" i="8"/>
  <c r="Q59" i="8"/>
  <c r="Q63" i="8"/>
  <c r="E95" i="1"/>
  <c r="E94" i="1"/>
  <c r="Q40" i="8"/>
  <c r="Q41" i="8"/>
  <c r="Q43" i="8"/>
  <c r="K95" i="8"/>
  <c r="Q44" i="8"/>
  <c r="Q46" i="8"/>
  <c r="Q47" i="8"/>
  <c r="F107" i="8"/>
  <c r="F111" i="8" s="1"/>
  <c r="Q45" i="8"/>
  <c r="Q48" i="8"/>
  <c r="P33" i="8"/>
  <c r="Q70" i="8"/>
  <c r="Q56" i="8"/>
  <c r="Q61" i="8"/>
  <c r="Q66" i="8"/>
  <c r="Q71" i="8"/>
  <c r="Q58" i="8"/>
  <c r="Q68" i="8"/>
  <c r="Q52" i="8"/>
  <c r="Q55" i="8"/>
  <c r="Q65" i="8"/>
  <c r="Q53" i="8"/>
  <c r="Q57" i="8"/>
  <c r="Q62" i="8"/>
  <c r="Q67" i="8"/>
  <c r="Q73" i="8"/>
  <c r="Q54" i="8"/>
  <c r="Q64" i="8"/>
  <c r="Q60" i="8"/>
  <c r="Q80" i="8"/>
  <c r="Q86" i="8"/>
  <c r="Q90" i="8"/>
  <c r="Q88" i="8"/>
  <c r="Q92" i="8"/>
  <c r="Q89" i="8"/>
  <c r="Q81" i="8"/>
  <c r="Q87" i="8"/>
  <c r="Q91" i="8"/>
  <c r="Q84" i="8"/>
  <c r="Q78" i="8"/>
  <c r="Q85" i="8"/>
  <c r="Q77" i="8"/>
  <c r="N107" i="8"/>
  <c r="N111" i="8" s="1"/>
  <c r="L107" i="8"/>
  <c r="L111" i="8" s="1"/>
  <c r="O107" i="8"/>
  <c r="O111" i="8" s="1"/>
  <c r="P95" i="8"/>
  <c r="K35" i="8"/>
  <c r="P23" i="8"/>
  <c r="M107" i="8"/>
  <c r="M111" i="8" s="1"/>
  <c r="F11" i="7"/>
  <c r="F16" i="7"/>
  <c r="F18" i="7" s="1"/>
  <c r="F41" i="6"/>
  <c r="F46" i="6"/>
  <c r="C23" i="6"/>
  <c r="F23" i="6" s="1"/>
  <c r="F18" i="6"/>
  <c r="F19" i="6"/>
  <c r="F20" i="6"/>
  <c r="F21" i="6"/>
  <c r="F22" i="6"/>
  <c r="F25" i="6"/>
  <c r="F26" i="6"/>
  <c r="F17" i="6"/>
  <c r="F13" i="6"/>
  <c r="C32" i="8" l="1"/>
  <c r="C24" i="1"/>
  <c r="C26" i="8"/>
  <c r="C33" i="8" s="1"/>
  <c r="C18" i="1"/>
  <c r="C25" i="1" s="1"/>
  <c r="C28" i="8"/>
  <c r="C20" i="1"/>
  <c r="C100" i="8"/>
  <c r="C105" i="8" s="1"/>
  <c r="C92" i="1"/>
  <c r="C97" i="1" s="1"/>
  <c r="F48" i="6"/>
  <c r="C27" i="8"/>
  <c r="C19" i="1"/>
  <c r="C85" i="8"/>
  <c r="C77" i="1"/>
  <c r="E105" i="8"/>
  <c r="Q49" i="8"/>
  <c r="Q74" i="8"/>
  <c r="Q93" i="8"/>
  <c r="Q18" i="8"/>
  <c r="Q22" i="8"/>
  <c r="Q20" i="8"/>
  <c r="Q21" i="8"/>
  <c r="Q19" i="8"/>
  <c r="Q16" i="8"/>
  <c r="Q17" i="8"/>
  <c r="Q27" i="8"/>
  <c r="Q31" i="8"/>
  <c r="Q30" i="8"/>
  <c r="Q28" i="8"/>
  <c r="Q32" i="8"/>
  <c r="Q29" i="8"/>
  <c r="Q26" i="8"/>
  <c r="K107" i="8"/>
  <c r="P35" i="8"/>
  <c r="F39" i="6"/>
  <c r="F38" i="6"/>
  <c r="F34" i="6"/>
  <c r="F33" i="6"/>
  <c r="E35" i="6"/>
  <c r="E50" i="6" s="1"/>
  <c r="D35" i="6"/>
  <c r="D50" i="6" s="1"/>
  <c r="C35" i="6"/>
  <c r="C50" i="6" s="1"/>
  <c r="B35" i="6"/>
  <c r="B50" i="6" s="1"/>
  <c r="E27" i="6"/>
  <c r="D27" i="6"/>
  <c r="C27" i="6"/>
  <c r="B27" i="6"/>
  <c r="F16" i="6"/>
  <c r="E14" i="6"/>
  <c r="D14" i="6"/>
  <c r="C14" i="6"/>
  <c r="B14" i="6"/>
  <c r="F12" i="6"/>
  <c r="F11" i="6"/>
  <c r="F10" i="6"/>
  <c r="F9" i="6"/>
  <c r="F8" i="6"/>
  <c r="D90" i="1"/>
  <c r="D81" i="1"/>
  <c r="D73" i="1"/>
  <c r="D63" i="1"/>
  <c r="D57" i="1"/>
  <c r="D50" i="1"/>
  <c r="D36" i="1"/>
  <c r="G98" i="1"/>
  <c r="F97" i="1"/>
  <c r="E97" i="1"/>
  <c r="E85" i="1"/>
  <c r="F85" i="1"/>
  <c r="E66" i="1"/>
  <c r="F66" i="1"/>
  <c r="C41" i="1"/>
  <c r="E41" i="1"/>
  <c r="F41" i="1"/>
  <c r="E25" i="1"/>
  <c r="F25" i="1"/>
  <c r="E15" i="1"/>
  <c r="F15" i="1"/>
  <c r="E27" i="1"/>
  <c r="E35" i="5"/>
  <c r="D35" i="5"/>
  <c r="C35" i="5"/>
  <c r="F55" i="5"/>
  <c r="D84" i="8" s="1"/>
  <c r="B35" i="5"/>
  <c r="B49" i="5" s="1"/>
  <c r="F52" i="5"/>
  <c r="D77" i="8" s="1"/>
  <c r="C58" i="5"/>
  <c r="D58" i="5"/>
  <c r="E58" i="5"/>
  <c r="B58" i="5"/>
  <c r="F9" i="5"/>
  <c r="F10" i="5"/>
  <c r="F11" i="5"/>
  <c r="F12" i="5"/>
  <c r="F13" i="5"/>
  <c r="F14" i="5"/>
  <c r="B15" i="5"/>
  <c r="C65" i="5"/>
  <c r="D65" i="5"/>
  <c r="E65" i="5"/>
  <c r="B65" i="5"/>
  <c r="C49" i="5"/>
  <c r="D49" i="5"/>
  <c r="E49" i="5"/>
  <c r="C32" i="5"/>
  <c r="D32" i="5"/>
  <c r="E32" i="5"/>
  <c r="B32" i="5"/>
  <c r="C20" i="5"/>
  <c r="D20" i="5"/>
  <c r="E20" i="5"/>
  <c r="B20" i="5"/>
  <c r="C15" i="5"/>
  <c r="D15" i="5"/>
  <c r="D22" i="5" s="1"/>
  <c r="E15" i="5"/>
  <c r="E22" i="5" s="1"/>
  <c r="F17" i="5"/>
  <c r="F18" i="5"/>
  <c r="F19" i="5"/>
  <c r="F25" i="5"/>
  <c r="F26" i="5"/>
  <c r="D40" i="8" s="1"/>
  <c r="D49" i="8" s="1"/>
  <c r="F27" i="5"/>
  <c r="D42" i="8" s="1"/>
  <c r="F28" i="5"/>
  <c r="D43" i="8" s="1"/>
  <c r="F29" i="5"/>
  <c r="D44" i="8" s="1"/>
  <c r="F30" i="5"/>
  <c r="D45" i="8" s="1"/>
  <c r="F31" i="5"/>
  <c r="D46" i="8" s="1"/>
  <c r="F36" i="5"/>
  <c r="D53" i="8" s="1"/>
  <c r="F37" i="5"/>
  <c r="D56" i="8" s="1"/>
  <c r="G56" i="8" s="1"/>
  <c r="F38" i="5"/>
  <c r="D57" i="8" s="1"/>
  <c r="F39" i="5"/>
  <c r="D58" i="8" s="1"/>
  <c r="F40" i="5"/>
  <c r="D60" i="8" s="1"/>
  <c r="F41" i="5"/>
  <c r="D61" i="8" s="1"/>
  <c r="F42" i="5"/>
  <c r="D62" i="8" s="1"/>
  <c r="F43" i="5"/>
  <c r="D64" i="8" s="1"/>
  <c r="F44" i="5"/>
  <c r="D71" i="8" s="1"/>
  <c r="F45" i="5"/>
  <c r="D65" i="8" s="1"/>
  <c r="F46" i="5"/>
  <c r="D67" i="8" s="1"/>
  <c r="F47" i="5"/>
  <c r="D70" i="8" s="1"/>
  <c r="F48" i="5"/>
  <c r="D73" i="8" s="1"/>
  <c r="F53" i="5"/>
  <c r="D78" i="8" s="1"/>
  <c r="F54" i="5"/>
  <c r="D87" i="8" s="1"/>
  <c r="G87" i="8" s="1"/>
  <c r="S87" i="8" s="1"/>
  <c r="F56" i="5"/>
  <c r="D81" i="8" s="1"/>
  <c r="F57" i="5"/>
  <c r="D85" i="8" s="1"/>
  <c r="F63" i="5"/>
  <c r="D98" i="8" s="1"/>
  <c r="F64" i="5"/>
  <c r="D102" i="8" s="1"/>
  <c r="F8" i="5"/>
  <c r="B96" i="1"/>
  <c r="G96" i="1" s="1"/>
  <c r="B82" i="1"/>
  <c r="G16" i="1"/>
  <c r="G17" i="1"/>
  <c r="G26" i="1"/>
  <c r="G28" i="1"/>
  <c r="G29" i="1"/>
  <c r="G30" i="1"/>
  <c r="G31" i="1"/>
  <c r="G42" i="1"/>
  <c r="G43" i="1"/>
  <c r="G67" i="1"/>
  <c r="G68" i="1"/>
  <c r="G82" i="1"/>
  <c r="G86" i="1"/>
  <c r="B81" i="1"/>
  <c r="G81" i="1" s="1"/>
  <c r="B73" i="1"/>
  <c r="B65" i="1"/>
  <c r="B60" i="1"/>
  <c r="B54" i="1"/>
  <c r="B49" i="1"/>
  <c r="B40" i="1"/>
  <c r="G40" i="1" s="1"/>
  <c r="B37" i="1"/>
  <c r="V301" i="3"/>
  <c r="P300" i="3"/>
  <c r="U300" i="3" s="1"/>
  <c r="T299" i="3"/>
  <c r="S299" i="3"/>
  <c r="R299" i="3"/>
  <c r="Q299" i="3"/>
  <c r="P299" i="3"/>
  <c r="U299" i="3" s="1"/>
  <c r="T298" i="3"/>
  <c r="S298" i="3"/>
  <c r="R298" i="3"/>
  <c r="Q298" i="3"/>
  <c r="P298" i="3"/>
  <c r="T297" i="3"/>
  <c r="S297" i="3"/>
  <c r="R297" i="3"/>
  <c r="Q297" i="3"/>
  <c r="P297" i="3"/>
  <c r="T296" i="3"/>
  <c r="S296" i="3"/>
  <c r="R296" i="3"/>
  <c r="T295" i="3"/>
  <c r="S295" i="3"/>
  <c r="T294" i="3"/>
  <c r="S294" i="3"/>
  <c r="R294" i="3"/>
  <c r="Q294" i="3"/>
  <c r="P294" i="3"/>
  <c r="U294" i="3" s="1"/>
  <c r="T289" i="3"/>
  <c r="S289" i="3"/>
  <c r="R289" i="3"/>
  <c r="Q289" i="3"/>
  <c r="T287" i="3"/>
  <c r="V277" i="3"/>
  <c r="U277" i="3"/>
  <c r="U276" i="3"/>
  <c r="U275" i="3"/>
  <c r="U274" i="3"/>
  <c r="U273" i="3"/>
  <c r="U272" i="3"/>
  <c r="U271" i="3"/>
  <c r="U270" i="3"/>
  <c r="T268" i="3"/>
  <c r="S268" i="3"/>
  <c r="R268" i="3"/>
  <c r="Q268" i="3"/>
  <c r="P268" i="3"/>
  <c r="U266" i="3"/>
  <c r="U265" i="3"/>
  <c r="U264" i="3"/>
  <c r="U263" i="3"/>
  <c r="U262" i="3"/>
  <c r="U268" i="3" s="1"/>
  <c r="U278" i="3" s="1"/>
  <c r="V254" i="3"/>
  <c r="U254" i="3"/>
  <c r="U253" i="3"/>
  <c r="U252" i="3"/>
  <c r="U251" i="3"/>
  <c r="U250" i="3"/>
  <c r="U249" i="3"/>
  <c r="U248" i="3"/>
  <c r="U247" i="3"/>
  <c r="T245" i="3"/>
  <c r="S245" i="3"/>
  <c r="R245" i="3"/>
  <c r="Q245" i="3"/>
  <c r="P245" i="3"/>
  <c r="U243" i="3"/>
  <c r="U242" i="3"/>
  <c r="U241" i="3"/>
  <c r="U240" i="3"/>
  <c r="U239" i="3"/>
  <c r="V231" i="3"/>
  <c r="U231" i="3"/>
  <c r="U230" i="3"/>
  <c r="U229" i="3"/>
  <c r="U228" i="3"/>
  <c r="U227" i="3"/>
  <c r="U226" i="3"/>
  <c r="U225" i="3"/>
  <c r="U224" i="3"/>
  <c r="U223" i="3"/>
  <c r="T221" i="3"/>
  <c r="S221" i="3"/>
  <c r="R221" i="3"/>
  <c r="Q221" i="3"/>
  <c r="P221" i="3"/>
  <c r="U219" i="3"/>
  <c r="U218" i="3"/>
  <c r="U217" i="3"/>
  <c r="U216" i="3"/>
  <c r="U215" i="3"/>
  <c r="U214" i="3"/>
  <c r="U221" i="3" s="1"/>
  <c r="U232" i="3" s="1"/>
  <c r="V206" i="3"/>
  <c r="U205" i="3"/>
  <c r="U204" i="3"/>
  <c r="U203" i="3"/>
  <c r="U202" i="3"/>
  <c r="U201" i="3"/>
  <c r="U200" i="3"/>
  <c r="U199" i="3"/>
  <c r="T197" i="3"/>
  <c r="S197" i="3"/>
  <c r="R197" i="3"/>
  <c r="Q197" i="3"/>
  <c r="P197" i="3"/>
  <c r="U195" i="3"/>
  <c r="U194" i="3"/>
  <c r="U193" i="3"/>
  <c r="U192" i="3"/>
  <c r="U191" i="3"/>
  <c r="U182" i="3"/>
  <c r="U181" i="3"/>
  <c r="U180" i="3"/>
  <c r="U179" i="3"/>
  <c r="U178" i="3"/>
  <c r="U177" i="3"/>
  <c r="U176" i="3"/>
  <c r="T174" i="3"/>
  <c r="T184" i="3" s="1"/>
  <c r="S174" i="3"/>
  <c r="S184" i="3" s="1"/>
  <c r="R174" i="3"/>
  <c r="R184" i="3" s="1"/>
  <c r="Q174" i="3"/>
  <c r="Q184" i="3" s="1"/>
  <c r="P174" i="3"/>
  <c r="P184" i="3" s="1"/>
  <c r="U172" i="3"/>
  <c r="U171" i="3"/>
  <c r="U170" i="3"/>
  <c r="U169" i="3"/>
  <c r="U168" i="3"/>
  <c r="V160" i="3"/>
  <c r="U159" i="3"/>
  <c r="U158" i="3"/>
  <c r="U157" i="3"/>
  <c r="U156" i="3"/>
  <c r="U155" i="3"/>
  <c r="U154" i="3"/>
  <c r="U153" i="3"/>
  <c r="T151" i="3"/>
  <c r="S151" i="3"/>
  <c r="R151" i="3"/>
  <c r="Q151" i="3"/>
  <c r="P151" i="3"/>
  <c r="U149" i="3"/>
  <c r="U148" i="3"/>
  <c r="U147" i="3"/>
  <c r="U146" i="3"/>
  <c r="U145" i="3"/>
  <c r="V137" i="3"/>
  <c r="U136" i="3"/>
  <c r="U135" i="3"/>
  <c r="U134" i="3"/>
  <c r="U133" i="3"/>
  <c r="U132" i="3"/>
  <c r="U131" i="3"/>
  <c r="U130" i="3"/>
  <c r="T128" i="3"/>
  <c r="S128" i="3"/>
  <c r="R128" i="3"/>
  <c r="Q128" i="3"/>
  <c r="P128" i="3"/>
  <c r="U126" i="3"/>
  <c r="U125" i="3"/>
  <c r="U124" i="3"/>
  <c r="U123" i="3"/>
  <c r="U122" i="3"/>
  <c r="V114" i="3"/>
  <c r="U113" i="3"/>
  <c r="U112" i="3"/>
  <c r="U111" i="3"/>
  <c r="U110" i="3"/>
  <c r="U109" i="3"/>
  <c r="U108" i="3"/>
  <c r="U107" i="3"/>
  <c r="T105" i="3"/>
  <c r="S105" i="3"/>
  <c r="R105" i="3"/>
  <c r="Q105" i="3"/>
  <c r="P105" i="3"/>
  <c r="U103" i="3"/>
  <c r="U102" i="3"/>
  <c r="U101" i="3"/>
  <c r="U100" i="3"/>
  <c r="U99" i="3"/>
  <c r="V92" i="3"/>
  <c r="U91" i="3"/>
  <c r="U90" i="3"/>
  <c r="U89" i="3"/>
  <c r="U88" i="3"/>
  <c r="U87" i="3"/>
  <c r="P86" i="3"/>
  <c r="U86" i="3" s="1"/>
  <c r="U85" i="3"/>
  <c r="T84" i="3"/>
  <c r="S84" i="3"/>
  <c r="R84" i="3"/>
  <c r="Q84" i="3"/>
  <c r="P84" i="3"/>
  <c r="U81" i="3"/>
  <c r="P80" i="3"/>
  <c r="P289" i="3" s="1"/>
  <c r="U289" i="3" s="1"/>
  <c r="T79" i="3"/>
  <c r="S79" i="3"/>
  <c r="R79" i="3"/>
  <c r="Q79" i="3"/>
  <c r="P79" i="3"/>
  <c r="S78" i="3"/>
  <c r="R78" i="3"/>
  <c r="Q78" i="3"/>
  <c r="P78" i="3"/>
  <c r="S77" i="3"/>
  <c r="R77" i="3"/>
  <c r="Q77" i="3"/>
  <c r="P77" i="3"/>
  <c r="T76" i="3"/>
  <c r="S76" i="3"/>
  <c r="R76" i="3"/>
  <c r="Q76" i="3"/>
  <c r="P76" i="3"/>
  <c r="T75" i="3"/>
  <c r="S75" i="3"/>
  <c r="R75" i="3"/>
  <c r="Q75" i="3"/>
  <c r="P75" i="3"/>
  <c r="V68" i="3"/>
  <c r="U66" i="3"/>
  <c r="U65" i="3"/>
  <c r="U64" i="3"/>
  <c r="Q63" i="3"/>
  <c r="U63" i="3" s="1"/>
  <c r="R62" i="3"/>
  <c r="Q62" i="3"/>
  <c r="P62" i="3"/>
  <c r="U61" i="3"/>
  <c r="T60" i="3"/>
  <c r="S60" i="3"/>
  <c r="R60" i="3"/>
  <c r="Q60" i="3"/>
  <c r="P60" i="3"/>
  <c r="U57" i="3"/>
  <c r="T56" i="3"/>
  <c r="S56" i="3"/>
  <c r="R56" i="3"/>
  <c r="Q56" i="3"/>
  <c r="P56" i="3"/>
  <c r="S55" i="3"/>
  <c r="R55" i="3"/>
  <c r="Q55" i="3"/>
  <c r="P55" i="3"/>
  <c r="S54" i="3"/>
  <c r="R54" i="3"/>
  <c r="Q54" i="3"/>
  <c r="P54" i="3"/>
  <c r="T53" i="3"/>
  <c r="S53" i="3"/>
  <c r="R53" i="3"/>
  <c r="Q53" i="3"/>
  <c r="P53" i="3"/>
  <c r="T52" i="3"/>
  <c r="S52" i="3"/>
  <c r="R52" i="3"/>
  <c r="Q52" i="3"/>
  <c r="P52" i="3"/>
  <c r="V46" i="3"/>
  <c r="U43" i="3"/>
  <c r="U42" i="3"/>
  <c r="U41" i="3"/>
  <c r="U40" i="3"/>
  <c r="R39" i="3"/>
  <c r="Q39" i="3"/>
  <c r="P39" i="3"/>
  <c r="U38" i="3"/>
  <c r="T37" i="3"/>
  <c r="S37" i="3"/>
  <c r="R37" i="3"/>
  <c r="Q37" i="3"/>
  <c r="P37" i="3"/>
  <c r="T33" i="3"/>
  <c r="S33" i="3"/>
  <c r="R33" i="3"/>
  <c r="Q33" i="3"/>
  <c r="P33" i="3"/>
  <c r="S32" i="3"/>
  <c r="R32" i="3"/>
  <c r="Q32" i="3"/>
  <c r="P32" i="3"/>
  <c r="S31" i="3"/>
  <c r="R31" i="3"/>
  <c r="Q31" i="3"/>
  <c r="P31" i="3"/>
  <c r="T30" i="3"/>
  <c r="S30" i="3"/>
  <c r="R30" i="3"/>
  <c r="Q30" i="3"/>
  <c r="P30" i="3"/>
  <c r="T29" i="3"/>
  <c r="S29" i="3"/>
  <c r="R29" i="3"/>
  <c r="Q29" i="3"/>
  <c r="P29" i="3"/>
  <c r="V23" i="3"/>
  <c r="U20" i="3"/>
  <c r="U19" i="3"/>
  <c r="U18" i="3"/>
  <c r="Q17" i="3"/>
  <c r="P17" i="3"/>
  <c r="U17" i="3" s="1"/>
  <c r="R16" i="3"/>
  <c r="Q16" i="3"/>
  <c r="P16" i="3"/>
  <c r="U15" i="3"/>
  <c r="T14" i="3"/>
  <c r="S14" i="3"/>
  <c r="R14" i="3"/>
  <c r="Q14" i="3"/>
  <c r="P14" i="3"/>
  <c r="T10" i="3"/>
  <c r="S10" i="3"/>
  <c r="R10" i="3"/>
  <c r="Q10" i="3"/>
  <c r="P10" i="3"/>
  <c r="S9" i="3"/>
  <c r="R9" i="3"/>
  <c r="Q9" i="3"/>
  <c r="P9" i="3"/>
  <c r="T8" i="3"/>
  <c r="T286" i="3" s="1"/>
  <c r="S8" i="3"/>
  <c r="R8" i="3"/>
  <c r="Q8" i="3"/>
  <c r="P8" i="3"/>
  <c r="T7" i="3"/>
  <c r="S7" i="3"/>
  <c r="R7" i="3"/>
  <c r="Q7" i="3"/>
  <c r="P7" i="3"/>
  <c r="T6" i="3"/>
  <c r="S6" i="3"/>
  <c r="R6" i="3"/>
  <c r="Q6" i="3"/>
  <c r="P6" i="3"/>
  <c r="B5" i="2"/>
  <c r="B6" i="2"/>
  <c r="B7" i="2"/>
  <c r="B8" i="2"/>
  <c r="B9" i="2"/>
  <c r="B14" i="2"/>
  <c r="B15" i="2"/>
  <c r="B16" i="2"/>
  <c r="B17" i="2"/>
  <c r="B18" i="2"/>
  <c r="B21" i="2"/>
  <c r="B22" i="2"/>
  <c r="B23" i="2"/>
  <c r="B24" i="2"/>
  <c r="B26" i="2"/>
  <c r="B27" i="2"/>
  <c r="B28" i="2"/>
  <c r="B31" i="2"/>
  <c r="B32" i="2"/>
  <c r="B37" i="2"/>
  <c r="B38" i="2"/>
  <c r="B39" i="2"/>
  <c r="B40" i="2"/>
  <c r="N40" i="2" s="1"/>
  <c r="P40" i="2" s="1"/>
  <c r="Q40" i="2" s="1"/>
  <c r="B41" i="2"/>
  <c r="B50" i="2"/>
  <c r="B51" i="2"/>
  <c r="B81" i="2" s="1"/>
  <c r="B52" i="2"/>
  <c r="B53" i="2"/>
  <c r="B56" i="2"/>
  <c r="B57" i="2"/>
  <c r="B58" i="2"/>
  <c r="B59" i="2"/>
  <c r="B60" i="2"/>
  <c r="B61" i="2"/>
  <c r="B63" i="2"/>
  <c r="B89" i="2" s="1"/>
  <c r="B71" i="2"/>
  <c r="B80" i="2"/>
  <c r="B85" i="2"/>
  <c r="B86" i="2"/>
  <c r="B87" i="2"/>
  <c r="B88" i="2"/>
  <c r="B122" i="2"/>
  <c r="B179" i="2"/>
  <c r="B193" i="2"/>
  <c r="B67" i="2" s="1"/>
  <c r="B211" i="2"/>
  <c r="B68" i="2" s="1"/>
  <c r="B234" i="2"/>
  <c r="B69" i="2" s="1"/>
  <c r="B243" i="2"/>
  <c r="B70" i="2" s="1"/>
  <c r="C5" i="2"/>
  <c r="C6" i="2"/>
  <c r="C7" i="2"/>
  <c r="C8" i="2"/>
  <c r="C9" i="2"/>
  <c r="C14" i="2"/>
  <c r="C15" i="2"/>
  <c r="C16" i="2"/>
  <c r="C17" i="2"/>
  <c r="C18" i="2"/>
  <c r="C21" i="2"/>
  <c r="C22" i="2"/>
  <c r="C23" i="2"/>
  <c r="C24" i="2"/>
  <c r="C26" i="2"/>
  <c r="C27" i="2"/>
  <c r="C28" i="2"/>
  <c r="C31" i="2"/>
  <c r="C32" i="2"/>
  <c r="C37" i="2"/>
  <c r="C38" i="2"/>
  <c r="C39" i="2"/>
  <c r="C40" i="2"/>
  <c r="C41" i="2"/>
  <c r="C43" i="2"/>
  <c r="C50" i="2"/>
  <c r="C80" i="2" s="1"/>
  <c r="C51" i="2"/>
  <c r="C81" i="2" s="1"/>
  <c r="C52" i="2"/>
  <c r="C53" i="2"/>
  <c r="C56" i="2"/>
  <c r="C85" i="2" s="1"/>
  <c r="C57" i="2"/>
  <c r="C58" i="2"/>
  <c r="C59" i="2"/>
  <c r="C60" i="2"/>
  <c r="C61" i="2"/>
  <c r="C63" i="2"/>
  <c r="C71" i="2"/>
  <c r="C86" i="2"/>
  <c r="C87" i="2"/>
  <c r="C88" i="2"/>
  <c r="C89" i="2"/>
  <c r="C122" i="2"/>
  <c r="C179" i="2"/>
  <c r="C193" i="2"/>
  <c r="C67" i="2" s="1"/>
  <c r="C211" i="2"/>
  <c r="C68" i="2" s="1"/>
  <c r="C234" i="2"/>
  <c r="C69" i="2" s="1"/>
  <c r="C243" i="2"/>
  <c r="C70" i="2" s="1"/>
  <c r="P246" i="2"/>
  <c r="Q246" i="2" s="1"/>
  <c r="P244" i="2"/>
  <c r="Q244" i="2" s="1"/>
  <c r="M243" i="2"/>
  <c r="L243" i="2"/>
  <c r="K243" i="2"/>
  <c r="K70" i="2" s="1"/>
  <c r="J243" i="2"/>
  <c r="J70" i="2" s="1"/>
  <c r="I243" i="2"/>
  <c r="I70" i="2" s="1"/>
  <c r="H243" i="2"/>
  <c r="H70" i="2" s="1"/>
  <c r="G243" i="2"/>
  <c r="G70" i="2" s="1"/>
  <c r="F243" i="2"/>
  <c r="F70" i="2" s="1"/>
  <c r="E243" i="2"/>
  <c r="E70" i="2" s="1"/>
  <c r="D243" i="2"/>
  <c r="D70" i="2" s="1"/>
  <c r="N242" i="2"/>
  <c r="N241" i="2"/>
  <c r="N240" i="2"/>
  <c r="N239" i="2"/>
  <c r="B101" i="8" s="1"/>
  <c r="G101" i="8" s="1"/>
  <c r="S101" i="8" s="1"/>
  <c r="N238" i="2"/>
  <c r="N237" i="2"/>
  <c r="P236" i="2"/>
  <c r="Q236" i="2" s="1"/>
  <c r="P235" i="2"/>
  <c r="Q235" i="2" s="1"/>
  <c r="M234" i="2"/>
  <c r="M69" i="2" s="1"/>
  <c r="L234" i="2"/>
  <c r="L69" i="2" s="1"/>
  <c r="K234" i="2"/>
  <c r="K69" i="2" s="1"/>
  <c r="J234" i="2"/>
  <c r="J69" i="2" s="1"/>
  <c r="I234" i="2"/>
  <c r="I69" i="2" s="1"/>
  <c r="H234" i="2"/>
  <c r="H69" i="2" s="1"/>
  <c r="G234" i="2"/>
  <c r="G69" i="2" s="1"/>
  <c r="F234" i="2"/>
  <c r="F69" i="2" s="1"/>
  <c r="D234" i="2"/>
  <c r="D69" i="2" s="1"/>
  <c r="N233" i="2"/>
  <c r="N232" i="2"/>
  <c r="B84" i="1" s="1"/>
  <c r="G84" i="1" s="1"/>
  <c r="N231" i="2"/>
  <c r="B83" i="1" s="1"/>
  <c r="G83" i="1" s="1"/>
  <c r="N230" i="2"/>
  <c r="N229" i="2"/>
  <c r="N228" i="2"/>
  <c r="N227" i="2"/>
  <c r="N226" i="2"/>
  <c r="N225" i="2"/>
  <c r="E224" i="2"/>
  <c r="E234" i="2" s="1"/>
  <c r="E69" i="2" s="1"/>
  <c r="N223" i="2"/>
  <c r="P223" i="2" s="1"/>
  <c r="Q223" i="2" s="1"/>
  <c r="N222" i="2"/>
  <c r="B76" i="1" s="1"/>
  <c r="N221" i="2"/>
  <c r="P221" i="2" s="1"/>
  <c r="Q221" i="2" s="1"/>
  <c r="N220" i="2"/>
  <c r="P220" i="2" s="1"/>
  <c r="Q220" i="2" s="1"/>
  <c r="N219" i="2"/>
  <c r="N218" i="2"/>
  <c r="N217" i="2"/>
  <c r="P217" i="2" s="1"/>
  <c r="Q217" i="2" s="1"/>
  <c r="N216" i="2"/>
  <c r="N215" i="2"/>
  <c r="B69" i="1" s="1"/>
  <c r="N214" i="2"/>
  <c r="B48" i="8" s="1"/>
  <c r="G48" i="8" s="1"/>
  <c r="N213" i="2"/>
  <c r="P213" i="2" s="1"/>
  <c r="Q213" i="2" s="1"/>
  <c r="P212" i="2"/>
  <c r="Q212" i="2" s="1"/>
  <c r="M211" i="2"/>
  <c r="M68" i="2" s="1"/>
  <c r="L211" i="2"/>
  <c r="K211" i="2"/>
  <c r="K68" i="2" s="1"/>
  <c r="J211" i="2"/>
  <c r="I211" i="2"/>
  <c r="I68" i="2" s="1"/>
  <c r="H211" i="2"/>
  <c r="H68" i="2" s="1"/>
  <c r="G211" i="2"/>
  <c r="F211" i="2"/>
  <c r="F68" i="2" s="1"/>
  <c r="E211" i="2"/>
  <c r="E68" i="2" s="1"/>
  <c r="D211" i="2"/>
  <c r="D68" i="2" s="1"/>
  <c r="N210" i="2"/>
  <c r="P210" i="2" s="1"/>
  <c r="Q210" i="2" s="1"/>
  <c r="N209" i="2"/>
  <c r="P209" i="2" s="1"/>
  <c r="Q209" i="2" s="1"/>
  <c r="N208" i="2"/>
  <c r="N207" i="2"/>
  <c r="N206" i="2"/>
  <c r="N205" i="2"/>
  <c r="N204" i="2"/>
  <c r="N203" i="2"/>
  <c r="N202" i="2"/>
  <c r="N201" i="2"/>
  <c r="B50" i="1" s="1"/>
  <c r="N200" i="2"/>
  <c r="N199" i="2"/>
  <c r="P199" i="2" s="1"/>
  <c r="Q199" i="2" s="1"/>
  <c r="N198" i="2"/>
  <c r="N197" i="2"/>
  <c r="N196" i="2"/>
  <c r="P196" i="2" s="1"/>
  <c r="Q196" i="2" s="1"/>
  <c r="N195" i="2"/>
  <c r="B52" i="8" s="1"/>
  <c r="P194" i="2"/>
  <c r="Q194" i="2" s="1"/>
  <c r="M193" i="2"/>
  <c r="M67" i="2" s="1"/>
  <c r="L193" i="2"/>
  <c r="L67" i="2" s="1"/>
  <c r="K193" i="2"/>
  <c r="K67" i="2" s="1"/>
  <c r="J193" i="2"/>
  <c r="J67" i="2" s="1"/>
  <c r="I193" i="2"/>
  <c r="I67" i="2" s="1"/>
  <c r="H193" i="2"/>
  <c r="H67" i="2" s="1"/>
  <c r="G193" i="2"/>
  <c r="F193" i="2"/>
  <c r="F67" i="2" s="1"/>
  <c r="E193" i="2"/>
  <c r="E67" i="2" s="1"/>
  <c r="D193" i="2"/>
  <c r="D67" i="2" s="1"/>
  <c r="N192" i="2"/>
  <c r="P192" i="2" s="1"/>
  <c r="Q192" i="2" s="1"/>
  <c r="N191" i="2"/>
  <c r="N190" i="2"/>
  <c r="B38" i="1" s="1"/>
  <c r="N189" i="2"/>
  <c r="P189" i="2" s="1"/>
  <c r="Q189" i="2" s="1"/>
  <c r="N188" i="2"/>
  <c r="N187" i="2"/>
  <c r="N186" i="2"/>
  <c r="N185" i="2"/>
  <c r="N184" i="2"/>
  <c r="N183" i="2"/>
  <c r="P183" i="2" s="1"/>
  <c r="Q183" i="2" s="1"/>
  <c r="N182" i="2"/>
  <c r="B32" i="1" s="1"/>
  <c r="P181" i="2"/>
  <c r="Q181" i="2" s="1"/>
  <c r="M179" i="2"/>
  <c r="L179" i="2"/>
  <c r="K179" i="2"/>
  <c r="J179" i="2"/>
  <c r="I179" i="2"/>
  <c r="H179" i="2"/>
  <c r="G179" i="2"/>
  <c r="F179" i="2"/>
  <c r="D179" i="2"/>
  <c r="N178" i="2"/>
  <c r="N177" i="2"/>
  <c r="B31" i="8" s="1"/>
  <c r="G31" i="8" s="1"/>
  <c r="S31" i="8" s="1"/>
  <c r="E176" i="2"/>
  <c r="E60" i="2" s="1"/>
  <c r="N175" i="2"/>
  <c r="P175" i="2" s="1"/>
  <c r="Q175" i="2" s="1"/>
  <c r="N174" i="2"/>
  <c r="P174" i="2" s="1"/>
  <c r="Q174" i="2" s="1"/>
  <c r="N173" i="2"/>
  <c r="P173" i="2" s="1"/>
  <c r="Q173" i="2" s="1"/>
  <c r="N172" i="2"/>
  <c r="P172" i="2" s="1"/>
  <c r="Q172" i="2" s="1"/>
  <c r="N171" i="2"/>
  <c r="P171" i="2" s="1"/>
  <c r="Q171" i="2" s="1"/>
  <c r="N170" i="2"/>
  <c r="P170" i="2" s="1"/>
  <c r="Q170" i="2" s="1"/>
  <c r="N169" i="2"/>
  <c r="P169" i="2" s="1"/>
  <c r="Q169" i="2" s="1"/>
  <c r="N168" i="2"/>
  <c r="P168" i="2" s="1"/>
  <c r="Q168" i="2" s="1"/>
  <c r="N167" i="2"/>
  <c r="P167" i="2" s="1"/>
  <c r="Q167" i="2" s="1"/>
  <c r="N166" i="2"/>
  <c r="P166" i="2" s="1"/>
  <c r="Q166" i="2" s="1"/>
  <c r="N165" i="2"/>
  <c r="P165" i="2" s="1"/>
  <c r="Q165" i="2" s="1"/>
  <c r="N164" i="2"/>
  <c r="P164" i="2" s="1"/>
  <c r="Q164" i="2" s="1"/>
  <c r="N163" i="2"/>
  <c r="P163" i="2" s="1"/>
  <c r="Q163" i="2" s="1"/>
  <c r="N162" i="2"/>
  <c r="P162" i="2" s="1"/>
  <c r="Q162" i="2" s="1"/>
  <c r="E161" i="2"/>
  <c r="N161" i="2" s="1"/>
  <c r="P161" i="2" s="1"/>
  <c r="Q161" i="2" s="1"/>
  <c r="N160" i="2"/>
  <c r="P160" i="2" s="1"/>
  <c r="Q160" i="2" s="1"/>
  <c r="N159" i="2"/>
  <c r="P159" i="2" s="1"/>
  <c r="Q159" i="2" s="1"/>
  <c r="N158" i="2"/>
  <c r="P158" i="2" s="1"/>
  <c r="Q158" i="2" s="1"/>
  <c r="N157" i="2"/>
  <c r="P157" i="2" s="1"/>
  <c r="Q157" i="2" s="1"/>
  <c r="N156" i="2"/>
  <c r="P156" i="2" s="1"/>
  <c r="Q156" i="2" s="1"/>
  <c r="N155" i="2"/>
  <c r="P155" i="2" s="1"/>
  <c r="Q155" i="2" s="1"/>
  <c r="N154" i="2"/>
  <c r="P154" i="2" s="1"/>
  <c r="Q154" i="2" s="1"/>
  <c r="N153" i="2"/>
  <c r="P153" i="2" s="1"/>
  <c r="Q153" i="2" s="1"/>
  <c r="N152" i="2"/>
  <c r="P152" i="2" s="1"/>
  <c r="Q152" i="2" s="1"/>
  <c r="N151" i="2"/>
  <c r="P151" i="2" s="1"/>
  <c r="Q151" i="2" s="1"/>
  <c r="N150" i="2"/>
  <c r="P150" i="2" s="1"/>
  <c r="Q150" i="2" s="1"/>
  <c r="N149" i="2"/>
  <c r="P149" i="2" s="1"/>
  <c r="Q149" i="2" s="1"/>
  <c r="N148" i="2"/>
  <c r="P148" i="2" s="1"/>
  <c r="Q148" i="2" s="1"/>
  <c r="N147" i="2"/>
  <c r="P147" i="2" s="1"/>
  <c r="Q147" i="2" s="1"/>
  <c r="N146" i="2"/>
  <c r="P146" i="2" s="1"/>
  <c r="Q146" i="2" s="1"/>
  <c r="N145" i="2"/>
  <c r="P145" i="2" s="1"/>
  <c r="Q145" i="2" s="1"/>
  <c r="N144" i="2"/>
  <c r="P144" i="2" s="1"/>
  <c r="Q144" i="2" s="1"/>
  <c r="N143" i="2"/>
  <c r="P143" i="2" s="1"/>
  <c r="Q143" i="2" s="1"/>
  <c r="N142" i="2"/>
  <c r="P142" i="2" s="1"/>
  <c r="Q142" i="2" s="1"/>
  <c r="N141" i="2"/>
  <c r="P141" i="2" s="1"/>
  <c r="Q141" i="2" s="1"/>
  <c r="N140" i="2"/>
  <c r="P140" i="2" s="1"/>
  <c r="Q140" i="2" s="1"/>
  <c r="N139" i="2"/>
  <c r="P139" i="2" s="1"/>
  <c r="Q139" i="2" s="1"/>
  <c r="N138" i="2"/>
  <c r="P138" i="2" s="1"/>
  <c r="Q138" i="2" s="1"/>
  <c r="N137" i="2"/>
  <c r="P137" i="2" s="1"/>
  <c r="Q137" i="2" s="1"/>
  <c r="N136" i="2"/>
  <c r="P136" i="2" s="1"/>
  <c r="Q136" i="2" s="1"/>
  <c r="N135" i="2"/>
  <c r="P135" i="2" s="1"/>
  <c r="Q135" i="2" s="1"/>
  <c r="N134" i="2"/>
  <c r="P134" i="2" s="1"/>
  <c r="Q134" i="2" s="1"/>
  <c r="N133" i="2"/>
  <c r="P133" i="2" s="1"/>
  <c r="Q133" i="2" s="1"/>
  <c r="N132" i="2"/>
  <c r="B22" i="1" s="1"/>
  <c r="G22" i="1" s="1"/>
  <c r="N131" i="2"/>
  <c r="P131" i="2" s="1"/>
  <c r="Q131" i="2" s="1"/>
  <c r="N130" i="2"/>
  <c r="P130" i="2" s="1"/>
  <c r="Q130" i="2" s="1"/>
  <c r="N129" i="2"/>
  <c r="N128" i="2"/>
  <c r="N127" i="2"/>
  <c r="N126" i="2"/>
  <c r="N125" i="2"/>
  <c r="P125" i="2" s="1"/>
  <c r="Q125" i="2" s="1"/>
  <c r="N124" i="2"/>
  <c r="P123" i="2"/>
  <c r="Q123" i="2" s="1"/>
  <c r="M122" i="2"/>
  <c r="L122" i="2"/>
  <c r="K122" i="2"/>
  <c r="J122" i="2"/>
  <c r="I122" i="2"/>
  <c r="H122" i="2"/>
  <c r="G122" i="2"/>
  <c r="F122" i="2"/>
  <c r="E122" i="2"/>
  <c r="D122" i="2"/>
  <c r="N121" i="2"/>
  <c r="N120" i="2"/>
  <c r="B21" i="8" s="1"/>
  <c r="G21" i="8" s="1"/>
  <c r="S21" i="8" s="1"/>
  <c r="N119" i="2"/>
  <c r="P119" i="2" s="1"/>
  <c r="Q119" i="2" s="1"/>
  <c r="N118" i="2"/>
  <c r="P118" i="2" s="1"/>
  <c r="Q118" i="2" s="1"/>
  <c r="N117" i="2"/>
  <c r="P117" i="2" s="1"/>
  <c r="Q117" i="2" s="1"/>
  <c r="N116" i="2"/>
  <c r="P116" i="2" s="1"/>
  <c r="Q116" i="2" s="1"/>
  <c r="N115" i="2"/>
  <c r="P115" i="2" s="1"/>
  <c r="Q115" i="2" s="1"/>
  <c r="N114" i="2"/>
  <c r="P114" i="2" s="1"/>
  <c r="Q114" i="2" s="1"/>
  <c r="N113" i="2"/>
  <c r="P113" i="2" s="1"/>
  <c r="Q113" i="2" s="1"/>
  <c r="N112" i="2"/>
  <c r="P112" i="2" s="1"/>
  <c r="Q112" i="2" s="1"/>
  <c r="N111" i="2"/>
  <c r="P111" i="2" s="1"/>
  <c r="Q111" i="2" s="1"/>
  <c r="N110" i="2"/>
  <c r="P110" i="2" s="1"/>
  <c r="Q110" i="2" s="1"/>
  <c r="N109" i="2"/>
  <c r="B12" i="1" s="1"/>
  <c r="G12" i="1" s="1"/>
  <c r="N108" i="2"/>
  <c r="P108" i="2" s="1"/>
  <c r="Q108" i="2" s="1"/>
  <c r="N107" i="2"/>
  <c r="N106" i="2"/>
  <c r="P106" i="2" s="1"/>
  <c r="Q106" i="2" s="1"/>
  <c r="N105" i="2"/>
  <c r="B11" i="1" s="1"/>
  <c r="G11" i="1" s="1"/>
  <c r="N104" i="2"/>
  <c r="B10" i="1" s="1"/>
  <c r="N103" i="2"/>
  <c r="N102" i="2"/>
  <c r="N101" i="2"/>
  <c r="P100" i="2"/>
  <c r="Q100" i="2" s="1"/>
  <c r="P99" i="2"/>
  <c r="Q99" i="2" s="1"/>
  <c r="P98" i="2"/>
  <c r="Q98" i="2" s="1"/>
  <c r="P97" i="2"/>
  <c r="Q97" i="2" s="1"/>
  <c r="P96" i="2"/>
  <c r="Q96" i="2" s="1"/>
  <c r="N95" i="2"/>
  <c r="P95" i="2" s="1"/>
  <c r="Q95" i="2" s="1"/>
  <c r="P94" i="2"/>
  <c r="Q94" i="2" s="1"/>
  <c r="P93" i="2"/>
  <c r="Q93" i="2" s="1"/>
  <c r="P92" i="2"/>
  <c r="Q92" i="2" s="1"/>
  <c r="F89" i="2"/>
  <c r="M88" i="2"/>
  <c r="L88" i="2"/>
  <c r="K88" i="2"/>
  <c r="J88" i="2"/>
  <c r="I88" i="2"/>
  <c r="H88" i="2"/>
  <c r="G88" i="2"/>
  <c r="F88" i="2"/>
  <c r="E88" i="2"/>
  <c r="D88" i="2"/>
  <c r="L87" i="2"/>
  <c r="K87" i="2"/>
  <c r="J87" i="2"/>
  <c r="I87" i="2"/>
  <c r="H87" i="2"/>
  <c r="G87" i="2"/>
  <c r="F87" i="2"/>
  <c r="E87" i="2"/>
  <c r="D87" i="2"/>
  <c r="G86" i="2"/>
  <c r="F86" i="2"/>
  <c r="E86" i="2"/>
  <c r="D86" i="2"/>
  <c r="F85" i="2"/>
  <c r="P84" i="2"/>
  <c r="Q84" i="2" s="1"/>
  <c r="P83" i="2"/>
  <c r="Q83" i="2" s="1"/>
  <c r="F81" i="2"/>
  <c r="F80" i="2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M71" i="2"/>
  <c r="L71" i="2"/>
  <c r="K71" i="2"/>
  <c r="J71" i="2"/>
  <c r="I71" i="2"/>
  <c r="H71" i="2"/>
  <c r="G71" i="2"/>
  <c r="F71" i="2"/>
  <c r="E71" i="2"/>
  <c r="D71" i="2"/>
  <c r="M70" i="2"/>
  <c r="L70" i="2"/>
  <c r="L68" i="2"/>
  <c r="G68" i="2"/>
  <c r="G67" i="2"/>
  <c r="P66" i="2"/>
  <c r="Q66" i="2" s="1"/>
  <c r="M63" i="2"/>
  <c r="M89" i="2" s="1"/>
  <c r="L63" i="2"/>
  <c r="L89" i="2" s="1"/>
  <c r="K63" i="2"/>
  <c r="K89" i="2" s="1"/>
  <c r="J63" i="2"/>
  <c r="J89" i="2" s="1"/>
  <c r="I63" i="2"/>
  <c r="I89" i="2" s="1"/>
  <c r="H63" i="2"/>
  <c r="H89" i="2" s="1"/>
  <c r="G63" i="2"/>
  <c r="G89" i="2" s="1"/>
  <c r="F63" i="2"/>
  <c r="E63" i="2"/>
  <c r="E89" i="2" s="1"/>
  <c r="D63" i="2"/>
  <c r="D89" i="2" s="1"/>
  <c r="N62" i="2"/>
  <c r="P62" i="2" s="1"/>
  <c r="Q62" i="2" s="1"/>
  <c r="M61" i="2"/>
  <c r="L61" i="2"/>
  <c r="K61" i="2"/>
  <c r="J61" i="2"/>
  <c r="I61" i="2"/>
  <c r="H61" i="2"/>
  <c r="G61" i="2"/>
  <c r="F61" i="2"/>
  <c r="E61" i="2"/>
  <c r="D61" i="2"/>
  <c r="M60" i="2"/>
  <c r="L60" i="2"/>
  <c r="K60" i="2"/>
  <c r="J60" i="2"/>
  <c r="I60" i="2"/>
  <c r="H60" i="2"/>
  <c r="G60" i="2"/>
  <c r="F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M57" i="2"/>
  <c r="L57" i="2"/>
  <c r="L86" i="2" s="1"/>
  <c r="K57" i="2"/>
  <c r="K86" i="2" s="1"/>
  <c r="J57" i="2"/>
  <c r="J86" i="2" s="1"/>
  <c r="I57" i="2"/>
  <c r="I86" i="2" s="1"/>
  <c r="H57" i="2"/>
  <c r="H86" i="2" s="1"/>
  <c r="G57" i="2"/>
  <c r="F57" i="2"/>
  <c r="E57" i="2"/>
  <c r="D57" i="2"/>
  <c r="M56" i="2"/>
  <c r="L56" i="2"/>
  <c r="L85" i="2" s="1"/>
  <c r="K56" i="2"/>
  <c r="K85" i="2" s="1"/>
  <c r="J56" i="2"/>
  <c r="J85" i="2" s="1"/>
  <c r="I56" i="2"/>
  <c r="I85" i="2" s="1"/>
  <c r="H56" i="2"/>
  <c r="H85" i="2" s="1"/>
  <c r="G56" i="2"/>
  <c r="G85" i="2" s="1"/>
  <c r="F56" i="2"/>
  <c r="E56" i="2"/>
  <c r="E85" i="2" s="1"/>
  <c r="D56" i="2"/>
  <c r="D85" i="2" s="1"/>
  <c r="P55" i="2"/>
  <c r="Q55" i="2" s="1"/>
  <c r="M53" i="2"/>
  <c r="L53" i="2"/>
  <c r="K53" i="2"/>
  <c r="J53" i="2"/>
  <c r="I53" i="2"/>
  <c r="H53" i="2"/>
  <c r="G53" i="2"/>
  <c r="F53" i="2"/>
  <c r="E53" i="2"/>
  <c r="D53" i="2"/>
  <c r="M52" i="2"/>
  <c r="L52" i="2"/>
  <c r="K52" i="2"/>
  <c r="J52" i="2"/>
  <c r="I52" i="2"/>
  <c r="H52" i="2"/>
  <c r="G52" i="2"/>
  <c r="F52" i="2"/>
  <c r="E52" i="2"/>
  <c r="D52" i="2"/>
  <c r="M51" i="2"/>
  <c r="L51" i="2"/>
  <c r="L81" i="2" s="1"/>
  <c r="K51" i="2"/>
  <c r="K81" i="2" s="1"/>
  <c r="J51" i="2"/>
  <c r="J81" i="2" s="1"/>
  <c r="I51" i="2"/>
  <c r="H51" i="2"/>
  <c r="H81" i="2" s="1"/>
  <c r="G51" i="2"/>
  <c r="G81" i="2" s="1"/>
  <c r="F51" i="2"/>
  <c r="E51" i="2"/>
  <c r="E81" i="2" s="1"/>
  <c r="D51" i="2"/>
  <c r="D81" i="2" s="1"/>
  <c r="M50" i="2"/>
  <c r="M80" i="2" s="1"/>
  <c r="L50" i="2"/>
  <c r="L80" i="2" s="1"/>
  <c r="K50" i="2"/>
  <c r="K80" i="2" s="1"/>
  <c r="J50" i="2"/>
  <c r="I50" i="2"/>
  <c r="I80" i="2" s="1"/>
  <c r="H50" i="2"/>
  <c r="H80" i="2" s="1"/>
  <c r="G50" i="2"/>
  <c r="G80" i="2" s="1"/>
  <c r="F50" i="2"/>
  <c r="E50" i="2"/>
  <c r="D50" i="2"/>
  <c r="D80" i="2" s="1"/>
  <c r="P49" i="2"/>
  <c r="Q49" i="2" s="1"/>
  <c r="P48" i="2"/>
  <c r="Q48" i="2" s="1"/>
  <c r="P47" i="2"/>
  <c r="Q47" i="2" s="1"/>
  <c r="P46" i="2"/>
  <c r="Q46" i="2" s="1"/>
  <c r="M44" i="2"/>
  <c r="L44" i="2"/>
  <c r="K44" i="2"/>
  <c r="J44" i="2"/>
  <c r="I44" i="2"/>
  <c r="H44" i="2"/>
  <c r="G44" i="2"/>
  <c r="F44" i="2"/>
  <c r="N43" i="2"/>
  <c r="P43" i="2" s="1"/>
  <c r="Q43" i="2" s="1"/>
  <c r="N42" i="2"/>
  <c r="P42" i="2" s="1"/>
  <c r="Q42" i="2" s="1"/>
  <c r="E41" i="2"/>
  <c r="D41" i="2"/>
  <c r="E39" i="2"/>
  <c r="D39" i="2"/>
  <c r="E38" i="2"/>
  <c r="D38" i="2"/>
  <c r="E37" i="2"/>
  <c r="D37" i="2"/>
  <c r="P36" i="2"/>
  <c r="Q36" i="2" s="1"/>
  <c r="M32" i="2"/>
  <c r="L32" i="2"/>
  <c r="K32" i="2"/>
  <c r="J32" i="2"/>
  <c r="I32" i="2"/>
  <c r="H32" i="2"/>
  <c r="G32" i="2"/>
  <c r="F32" i="2"/>
  <c r="E32" i="2"/>
  <c r="D32" i="2"/>
  <c r="M31" i="2"/>
  <c r="L31" i="2"/>
  <c r="K31" i="2"/>
  <c r="J31" i="2"/>
  <c r="I31" i="2"/>
  <c r="H31" i="2"/>
  <c r="G31" i="2"/>
  <c r="F31" i="2"/>
  <c r="E31" i="2"/>
  <c r="D31" i="2"/>
  <c r="P30" i="2"/>
  <c r="Q30" i="2" s="1"/>
  <c r="M29" i="2"/>
  <c r="L29" i="2"/>
  <c r="K29" i="2"/>
  <c r="J29" i="2"/>
  <c r="I29" i="2"/>
  <c r="H29" i="2"/>
  <c r="F29" i="2"/>
  <c r="M28" i="2"/>
  <c r="L28" i="2"/>
  <c r="K28" i="2"/>
  <c r="J28" i="2"/>
  <c r="I28" i="2"/>
  <c r="H28" i="2"/>
  <c r="G28" i="2"/>
  <c r="F28" i="2"/>
  <c r="E28" i="2"/>
  <c r="D28" i="2"/>
  <c r="M27" i="2"/>
  <c r="L27" i="2"/>
  <c r="K27" i="2"/>
  <c r="J27" i="2"/>
  <c r="I27" i="2"/>
  <c r="H27" i="2"/>
  <c r="G27" i="2"/>
  <c r="F27" i="2"/>
  <c r="E27" i="2"/>
  <c r="D27" i="2"/>
  <c r="M26" i="2"/>
  <c r="L26" i="2"/>
  <c r="K26" i="2"/>
  <c r="J26" i="2"/>
  <c r="I26" i="2"/>
  <c r="H26" i="2"/>
  <c r="G26" i="2"/>
  <c r="F26" i="2"/>
  <c r="E26" i="2"/>
  <c r="D26" i="2"/>
  <c r="P25" i="2"/>
  <c r="Q25" i="2" s="1"/>
  <c r="M24" i="2"/>
  <c r="L24" i="2"/>
  <c r="K24" i="2"/>
  <c r="J24" i="2"/>
  <c r="I24" i="2"/>
  <c r="H24" i="2"/>
  <c r="G24" i="2"/>
  <c r="F24" i="2"/>
  <c r="D24" i="2"/>
  <c r="M23" i="2"/>
  <c r="L23" i="2"/>
  <c r="K23" i="2"/>
  <c r="J23" i="2"/>
  <c r="I23" i="2"/>
  <c r="H23" i="2"/>
  <c r="G23" i="2"/>
  <c r="F23" i="2"/>
  <c r="E23" i="2"/>
  <c r="D23" i="2"/>
  <c r="M22" i="2"/>
  <c r="L22" i="2"/>
  <c r="K22" i="2"/>
  <c r="J22" i="2"/>
  <c r="I22" i="2"/>
  <c r="H22" i="2"/>
  <c r="G22" i="2"/>
  <c r="F22" i="2"/>
  <c r="E22" i="2"/>
  <c r="D22" i="2"/>
  <c r="M21" i="2"/>
  <c r="L21" i="2"/>
  <c r="K21" i="2"/>
  <c r="J21" i="2"/>
  <c r="I21" i="2"/>
  <c r="H21" i="2"/>
  <c r="G21" i="2"/>
  <c r="F21" i="2"/>
  <c r="E21" i="2"/>
  <c r="D21" i="2"/>
  <c r="P20" i="2"/>
  <c r="Q20" i="2" s="1"/>
  <c r="M19" i="2"/>
  <c r="L19" i="2"/>
  <c r="K19" i="2"/>
  <c r="J19" i="2"/>
  <c r="I19" i="2"/>
  <c r="H19" i="2"/>
  <c r="G19" i="2"/>
  <c r="F19" i="2"/>
  <c r="E19" i="2"/>
  <c r="M18" i="2"/>
  <c r="L18" i="2"/>
  <c r="K18" i="2"/>
  <c r="J18" i="2"/>
  <c r="I18" i="2"/>
  <c r="H18" i="2"/>
  <c r="G18" i="2"/>
  <c r="F18" i="2"/>
  <c r="E18" i="2"/>
  <c r="D18" i="2"/>
  <c r="M17" i="2"/>
  <c r="L17" i="2"/>
  <c r="K17" i="2"/>
  <c r="J17" i="2"/>
  <c r="I17" i="2"/>
  <c r="H17" i="2"/>
  <c r="G17" i="2"/>
  <c r="F17" i="2"/>
  <c r="E17" i="2"/>
  <c r="D17" i="2"/>
  <c r="M16" i="2"/>
  <c r="L16" i="2"/>
  <c r="K16" i="2"/>
  <c r="J16" i="2"/>
  <c r="I16" i="2"/>
  <c r="H16" i="2"/>
  <c r="G16" i="2"/>
  <c r="F16" i="2"/>
  <c r="E16" i="2"/>
  <c r="D16" i="2"/>
  <c r="M15" i="2"/>
  <c r="L15" i="2"/>
  <c r="K15" i="2"/>
  <c r="J15" i="2"/>
  <c r="I15" i="2"/>
  <c r="H15" i="2"/>
  <c r="G15" i="2"/>
  <c r="F15" i="2"/>
  <c r="E15" i="2"/>
  <c r="D15" i="2"/>
  <c r="M14" i="2"/>
  <c r="L14" i="2"/>
  <c r="K14" i="2"/>
  <c r="J14" i="2"/>
  <c r="I14" i="2"/>
  <c r="H14" i="2"/>
  <c r="G14" i="2"/>
  <c r="F14" i="2"/>
  <c r="E14" i="2"/>
  <c r="D14" i="2"/>
  <c r="P13" i="2"/>
  <c r="Q13" i="2" s="1"/>
  <c r="P12" i="2"/>
  <c r="Q12" i="2" s="1"/>
  <c r="M10" i="2"/>
  <c r="L10" i="2"/>
  <c r="K10" i="2"/>
  <c r="J10" i="2"/>
  <c r="I10" i="2"/>
  <c r="H10" i="2"/>
  <c r="G10" i="2"/>
  <c r="F10" i="2"/>
  <c r="E10" i="2"/>
  <c r="M9" i="2"/>
  <c r="L9" i="2"/>
  <c r="K9" i="2"/>
  <c r="J9" i="2"/>
  <c r="I9" i="2"/>
  <c r="H9" i="2"/>
  <c r="G9" i="2"/>
  <c r="F9" i="2"/>
  <c r="E9" i="2"/>
  <c r="D9" i="2"/>
  <c r="M8" i="2"/>
  <c r="L8" i="2"/>
  <c r="K8" i="2"/>
  <c r="J8" i="2"/>
  <c r="I8" i="2"/>
  <c r="H8" i="2"/>
  <c r="G8" i="2"/>
  <c r="F8" i="2"/>
  <c r="E8" i="2"/>
  <c r="D8" i="2"/>
  <c r="M7" i="2"/>
  <c r="L7" i="2"/>
  <c r="K7" i="2"/>
  <c r="J7" i="2"/>
  <c r="I7" i="2"/>
  <c r="H7" i="2"/>
  <c r="G7" i="2"/>
  <c r="F7" i="2"/>
  <c r="E7" i="2"/>
  <c r="D7" i="2"/>
  <c r="M6" i="2"/>
  <c r="L6" i="2"/>
  <c r="K6" i="2"/>
  <c r="J6" i="2"/>
  <c r="I6" i="2"/>
  <c r="H6" i="2"/>
  <c r="G6" i="2"/>
  <c r="F6" i="2"/>
  <c r="E6" i="2"/>
  <c r="D6" i="2"/>
  <c r="M5" i="2"/>
  <c r="L5" i="2"/>
  <c r="K5" i="2"/>
  <c r="J5" i="2"/>
  <c r="I5" i="2"/>
  <c r="H5" i="2"/>
  <c r="G5" i="2"/>
  <c r="F5" i="2"/>
  <c r="E5" i="2"/>
  <c r="D5" i="2"/>
  <c r="P129" i="2" l="1"/>
  <c r="Q129" i="2" s="1"/>
  <c r="B29" i="8"/>
  <c r="G29" i="8" s="1"/>
  <c r="P186" i="2"/>
  <c r="Q186" i="2" s="1"/>
  <c r="B43" i="8"/>
  <c r="G43" i="8" s="1"/>
  <c r="P197" i="2"/>
  <c r="Q197" i="2" s="1"/>
  <c r="B53" i="8"/>
  <c r="G53" i="8" s="1"/>
  <c r="P205" i="2"/>
  <c r="Q205" i="2" s="1"/>
  <c r="B64" i="8"/>
  <c r="G64" i="8" s="1"/>
  <c r="P240" i="2"/>
  <c r="Q240" i="2" s="1"/>
  <c r="B102" i="8"/>
  <c r="G102" i="8" s="1"/>
  <c r="S102" i="8" s="1"/>
  <c r="B14" i="1"/>
  <c r="G60" i="1"/>
  <c r="G73" i="1"/>
  <c r="P103" i="2"/>
  <c r="Q103" i="2" s="1"/>
  <c r="B17" i="8"/>
  <c r="P107" i="2"/>
  <c r="Q107" i="2" s="1"/>
  <c r="B22" i="8"/>
  <c r="P126" i="2"/>
  <c r="Q126" i="2" s="1"/>
  <c r="B26" i="8"/>
  <c r="P187" i="2"/>
  <c r="Q187" i="2" s="1"/>
  <c r="B44" i="8"/>
  <c r="G44" i="8" s="1"/>
  <c r="P191" i="2"/>
  <c r="Q191" i="2" s="1"/>
  <c r="B47" i="8"/>
  <c r="G47" i="8" s="1"/>
  <c r="P198" i="2"/>
  <c r="Q198" i="2" s="1"/>
  <c r="B54" i="8"/>
  <c r="G54" i="8" s="1"/>
  <c r="P202" i="2"/>
  <c r="Q202" i="2" s="1"/>
  <c r="B60" i="8"/>
  <c r="G60" i="8" s="1"/>
  <c r="P206" i="2"/>
  <c r="Q206" i="2" s="1"/>
  <c r="B65" i="8"/>
  <c r="G65" i="8" s="1"/>
  <c r="P225" i="2"/>
  <c r="Q225" i="2" s="1"/>
  <c r="B68" i="8"/>
  <c r="G68" i="8" s="1"/>
  <c r="P229" i="2"/>
  <c r="Q229" i="2" s="1"/>
  <c r="B89" i="8"/>
  <c r="G89" i="8" s="1"/>
  <c r="P233" i="2"/>
  <c r="Q233" i="2" s="1"/>
  <c r="B73" i="8"/>
  <c r="G73" i="8" s="1"/>
  <c r="P237" i="2"/>
  <c r="Q237" i="2" s="1"/>
  <c r="B98" i="8"/>
  <c r="P241" i="2"/>
  <c r="Q241" i="2" s="1"/>
  <c r="B103" i="8"/>
  <c r="G103" i="8" s="1"/>
  <c r="S103" i="8" s="1"/>
  <c r="B82" i="2"/>
  <c r="B21" i="1"/>
  <c r="G21" i="1" s="1"/>
  <c r="B36" i="1"/>
  <c r="B44" i="1"/>
  <c r="B57" i="1"/>
  <c r="G57" i="1" s="1"/>
  <c r="B61" i="1"/>
  <c r="G61" i="1" s="1"/>
  <c r="B90" i="1"/>
  <c r="B94" i="1"/>
  <c r="D105" i="8"/>
  <c r="U56" i="8"/>
  <c r="W56" i="8" s="1"/>
  <c r="S56" i="8"/>
  <c r="D32" i="1"/>
  <c r="D37" i="1"/>
  <c r="G37" i="1" s="1"/>
  <c r="D45" i="1"/>
  <c r="G45" i="1" s="1"/>
  <c r="D52" i="1"/>
  <c r="D58" i="1"/>
  <c r="D65" i="1"/>
  <c r="G65" i="1" s="1"/>
  <c r="D76" i="1"/>
  <c r="G76" i="1" s="1"/>
  <c r="D94" i="1"/>
  <c r="C17" i="8"/>
  <c r="C9" i="1"/>
  <c r="C81" i="8"/>
  <c r="C73" i="1"/>
  <c r="P102" i="2"/>
  <c r="Q102" i="2" s="1"/>
  <c r="B16" i="8"/>
  <c r="P216" i="2"/>
  <c r="Q216" i="2" s="1"/>
  <c r="B78" i="8"/>
  <c r="P228" i="2"/>
  <c r="Q228" i="2" s="1"/>
  <c r="B71" i="8"/>
  <c r="G71" i="8" s="1"/>
  <c r="B20" i="1"/>
  <c r="G20" i="1" s="1"/>
  <c r="C78" i="8"/>
  <c r="C70" i="1"/>
  <c r="C85" i="1" s="1"/>
  <c r="E24" i="2"/>
  <c r="P104" i="2"/>
  <c r="Q104" i="2" s="1"/>
  <c r="B18" i="8"/>
  <c r="G18" i="8" s="1"/>
  <c r="P127" i="2"/>
  <c r="Q127" i="2" s="1"/>
  <c r="B27" i="8"/>
  <c r="G27" i="8" s="1"/>
  <c r="P184" i="2"/>
  <c r="Q184" i="2" s="1"/>
  <c r="B41" i="8"/>
  <c r="G41" i="8" s="1"/>
  <c r="P188" i="2"/>
  <c r="Q188" i="2" s="1"/>
  <c r="B45" i="8"/>
  <c r="G45" i="8" s="1"/>
  <c r="P203" i="2"/>
  <c r="Q203" i="2" s="1"/>
  <c r="B61" i="8"/>
  <c r="G61" i="8" s="1"/>
  <c r="P207" i="2"/>
  <c r="Q207" i="2" s="1"/>
  <c r="B66" i="8"/>
  <c r="G66" i="8" s="1"/>
  <c r="S48" i="8"/>
  <c r="U48" i="8"/>
  <c r="W48" i="8" s="1"/>
  <c r="P218" i="2"/>
  <c r="Q218" i="2" s="1"/>
  <c r="B80" i="8"/>
  <c r="G80" i="8" s="1"/>
  <c r="P222" i="2"/>
  <c r="Q222" i="2" s="1"/>
  <c r="B84" i="8"/>
  <c r="G84" i="8" s="1"/>
  <c r="P226" i="2"/>
  <c r="Q226" i="2" s="1"/>
  <c r="B85" i="8"/>
  <c r="G85" i="8" s="1"/>
  <c r="P230" i="2"/>
  <c r="Q230" i="2" s="1"/>
  <c r="B90" i="8"/>
  <c r="G90" i="8" s="1"/>
  <c r="P238" i="2"/>
  <c r="Q238" i="2" s="1"/>
  <c r="B99" i="8"/>
  <c r="G99" i="8" s="1"/>
  <c r="S99" i="8" s="1"/>
  <c r="P242" i="2"/>
  <c r="Q242" i="2" s="1"/>
  <c r="B104" i="8"/>
  <c r="G104" i="8" s="1"/>
  <c r="S104" i="8" s="1"/>
  <c r="B18" i="1"/>
  <c r="G18" i="1" s="1"/>
  <c r="B33" i="1"/>
  <c r="G33" i="1" s="1"/>
  <c r="B35" i="1"/>
  <c r="B45" i="1"/>
  <c r="B52" i="1"/>
  <c r="B58" i="1"/>
  <c r="B70" i="1"/>
  <c r="B77" i="1"/>
  <c r="B91" i="1"/>
  <c r="G91" i="1" s="1"/>
  <c r="B95" i="1"/>
  <c r="G95" i="1" s="1"/>
  <c r="D93" i="8"/>
  <c r="D34" i="1"/>
  <c r="D49" i="1"/>
  <c r="G49" i="1" s="1"/>
  <c r="D53" i="1"/>
  <c r="D60" i="1"/>
  <c r="D69" i="1"/>
  <c r="D77" i="1"/>
  <c r="D79" i="1"/>
  <c r="G79" i="1" s="1"/>
  <c r="C18" i="8"/>
  <c r="C10" i="1"/>
  <c r="G10" i="1" s="1"/>
  <c r="C58" i="8"/>
  <c r="C74" i="8" s="1"/>
  <c r="C50" i="1"/>
  <c r="C66" i="1" s="1"/>
  <c r="P182" i="2"/>
  <c r="Q182" i="2" s="1"/>
  <c r="B40" i="8"/>
  <c r="P190" i="2"/>
  <c r="Q190" i="2" s="1"/>
  <c r="B46" i="8"/>
  <c r="G46" i="8" s="1"/>
  <c r="P201" i="2"/>
  <c r="Q201" i="2" s="1"/>
  <c r="B58" i="8"/>
  <c r="P232" i="2"/>
  <c r="Q232" i="2" s="1"/>
  <c r="B92" i="8"/>
  <c r="G92" i="8" s="1"/>
  <c r="B9" i="1"/>
  <c r="G9" i="1" s="1"/>
  <c r="C16" i="8"/>
  <c r="F14" i="6"/>
  <c r="C8" i="1"/>
  <c r="P105" i="2"/>
  <c r="Q105" i="2" s="1"/>
  <c r="B19" i="8"/>
  <c r="G19" i="8" s="1"/>
  <c r="P109" i="2"/>
  <c r="Q109" i="2" s="1"/>
  <c r="B20" i="8"/>
  <c r="G20" i="8" s="1"/>
  <c r="G180" i="2"/>
  <c r="K180" i="2"/>
  <c r="K245" i="2" s="1"/>
  <c r="P124" i="2"/>
  <c r="Q124" i="2" s="1"/>
  <c r="P128" i="2"/>
  <c r="Q128" i="2" s="1"/>
  <c r="B28" i="8"/>
  <c r="G28" i="8" s="1"/>
  <c r="P132" i="2"/>
  <c r="Q132" i="2" s="1"/>
  <c r="B30" i="8"/>
  <c r="G30" i="8" s="1"/>
  <c r="P185" i="2"/>
  <c r="Q185" i="2" s="1"/>
  <c r="B42" i="8"/>
  <c r="G42" i="8" s="1"/>
  <c r="P200" i="2"/>
  <c r="Q200" i="2" s="1"/>
  <c r="B57" i="8"/>
  <c r="G57" i="8" s="1"/>
  <c r="P204" i="2"/>
  <c r="Q204" i="2" s="1"/>
  <c r="B62" i="8"/>
  <c r="G62" i="8" s="1"/>
  <c r="P208" i="2"/>
  <c r="Q208" i="2" s="1"/>
  <c r="B67" i="8"/>
  <c r="P215" i="2"/>
  <c r="Q215" i="2" s="1"/>
  <c r="B77" i="8"/>
  <c r="P219" i="2"/>
  <c r="Q219" i="2" s="1"/>
  <c r="B81" i="8"/>
  <c r="P227" i="2"/>
  <c r="Q227" i="2" s="1"/>
  <c r="B86" i="8"/>
  <c r="G86" i="8" s="1"/>
  <c r="P231" i="2"/>
  <c r="Q231" i="2" s="1"/>
  <c r="B91" i="8"/>
  <c r="G91" i="8" s="1"/>
  <c r="C54" i="2"/>
  <c r="B11" i="2"/>
  <c r="B8" i="1"/>
  <c r="G8" i="1" s="1"/>
  <c r="B13" i="1"/>
  <c r="G13" i="1" s="1"/>
  <c r="B19" i="1"/>
  <c r="G19" i="1" s="1"/>
  <c r="B23" i="1"/>
  <c r="G23" i="1" s="1"/>
  <c r="B34" i="1"/>
  <c r="G34" i="1" s="1"/>
  <c r="B39" i="1"/>
  <c r="G39" i="1" s="1"/>
  <c r="B46" i="1"/>
  <c r="G46" i="1" s="1"/>
  <c r="B53" i="1"/>
  <c r="B59" i="1"/>
  <c r="G59" i="1" s="1"/>
  <c r="B63" i="1"/>
  <c r="G63" i="1" s="1"/>
  <c r="B72" i="1"/>
  <c r="G72" i="1" s="1"/>
  <c r="B78" i="1"/>
  <c r="G78" i="1" s="1"/>
  <c r="B93" i="1"/>
  <c r="G93" i="1" s="1"/>
  <c r="D35" i="1"/>
  <c r="D38" i="1"/>
  <c r="D48" i="1"/>
  <c r="G48" i="1" s="1"/>
  <c r="D54" i="1"/>
  <c r="D62" i="1"/>
  <c r="D70" i="1"/>
  <c r="C22" i="8"/>
  <c r="C14" i="1"/>
  <c r="C67" i="8"/>
  <c r="C60" i="1"/>
  <c r="G90" i="1"/>
  <c r="G54" i="1"/>
  <c r="G52" i="1"/>
  <c r="G58" i="1"/>
  <c r="G69" i="1"/>
  <c r="G94" i="1"/>
  <c r="D97" i="1"/>
  <c r="F87" i="1"/>
  <c r="F27" i="1"/>
  <c r="E107" i="8"/>
  <c r="E111" i="8" s="1"/>
  <c r="S35" i="3"/>
  <c r="S45" i="3" s="1"/>
  <c r="R58" i="3"/>
  <c r="R68" i="3" s="1"/>
  <c r="U62" i="3"/>
  <c r="T82" i="3"/>
  <c r="T92" i="3" s="1"/>
  <c r="Q33" i="8"/>
  <c r="Q23" i="8"/>
  <c r="P107" i="8"/>
  <c r="K111" i="8"/>
  <c r="G35" i="1"/>
  <c r="G77" i="1"/>
  <c r="E87" i="1"/>
  <c r="E99" i="1" s="1"/>
  <c r="E103" i="1" s="1"/>
  <c r="F43" i="6"/>
  <c r="F27" i="6"/>
  <c r="E29" i="6"/>
  <c r="E52" i="6" s="1"/>
  <c r="C29" i="6"/>
  <c r="C52" i="6" s="1"/>
  <c r="D29" i="6"/>
  <c r="D52" i="6" s="1"/>
  <c r="Q12" i="3"/>
  <c r="Q22" i="3" s="1"/>
  <c r="U7" i="3"/>
  <c r="T285" i="3"/>
  <c r="S286" i="3"/>
  <c r="R287" i="3"/>
  <c r="R288" i="3"/>
  <c r="Q293" i="3"/>
  <c r="R35" i="3"/>
  <c r="R45" i="3" s="1"/>
  <c r="U31" i="3"/>
  <c r="U32" i="3"/>
  <c r="U33" i="3"/>
  <c r="Q58" i="3"/>
  <c r="Q68" i="3" s="1"/>
  <c r="U53" i="3"/>
  <c r="S82" i="3"/>
  <c r="S92" i="3" s="1"/>
  <c r="U290" i="3"/>
  <c r="B29" i="6"/>
  <c r="B52" i="6" s="1"/>
  <c r="F35" i="6"/>
  <c r="D85" i="1"/>
  <c r="D41" i="1"/>
  <c r="G38" i="1"/>
  <c r="G36" i="1"/>
  <c r="C87" i="1"/>
  <c r="E60" i="5"/>
  <c r="E67" i="5" s="1"/>
  <c r="F35" i="5"/>
  <c r="C60" i="5"/>
  <c r="D60" i="5"/>
  <c r="D67" i="5" s="1"/>
  <c r="C22" i="5"/>
  <c r="C67" i="5" s="1"/>
  <c r="F58" i="5"/>
  <c r="B60" i="5"/>
  <c r="B22" i="5"/>
  <c r="F20" i="5"/>
  <c r="F49" i="5"/>
  <c r="F15" i="5"/>
  <c r="F65" i="5"/>
  <c r="F32" i="5"/>
  <c r="G32" i="1"/>
  <c r="R284" i="3"/>
  <c r="S287" i="3"/>
  <c r="P295" i="3"/>
  <c r="Q296" i="3"/>
  <c r="U55" i="3"/>
  <c r="P82" i="3"/>
  <c r="P92" i="3" s="1"/>
  <c r="U128" i="3"/>
  <c r="U138" i="3" s="1"/>
  <c r="W138" i="3" s="1"/>
  <c r="U174" i="3"/>
  <c r="U184" i="3" s="1"/>
  <c r="S284" i="3"/>
  <c r="R285" i="3"/>
  <c r="Q286" i="3"/>
  <c r="U9" i="3"/>
  <c r="P288" i="3"/>
  <c r="T288" i="3"/>
  <c r="S293" i="3"/>
  <c r="Q295" i="3"/>
  <c r="P35" i="3"/>
  <c r="P45" i="3" s="1"/>
  <c r="T35" i="3"/>
  <c r="T45" i="3" s="1"/>
  <c r="S58" i="3"/>
  <c r="S68" i="3" s="1"/>
  <c r="Q82" i="3"/>
  <c r="Q92" i="3" s="1"/>
  <c r="U76" i="3"/>
  <c r="U84" i="3"/>
  <c r="U197" i="3"/>
  <c r="U207" i="3" s="1"/>
  <c r="W207" i="3" s="1"/>
  <c r="U297" i="3"/>
  <c r="Q285" i="3"/>
  <c r="P286" i="3"/>
  <c r="S288" i="3"/>
  <c r="R293" i="3"/>
  <c r="U37" i="3"/>
  <c r="U54" i="3"/>
  <c r="U56" i="3"/>
  <c r="U245" i="3"/>
  <c r="U255" i="3" s="1"/>
  <c r="W255" i="3" s="1"/>
  <c r="W257" i="3" s="1"/>
  <c r="P284" i="3"/>
  <c r="T284" i="3"/>
  <c r="S285" i="3"/>
  <c r="R286" i="3"/>
  <c r="Q287" i="3"/>
  <c r="Q288" i="3"/>
  <c r="P293" i="3"/>
  <c r="T293" i="3"/>
  <c r="R295" i="3"/>
  <c r="Q35" i="3"/>
  <c r="Q45" i="3" s="1"/>
  <c r="U30" i="3"/>
  <c r="U39" i="3"/>
  <c r="P58" i="3"/>
  <c r="P68" i="3" s="1"/>
  <c r="T58" i="3"/>
  <c r="T68" i="3" s="1"/>
  <c r="U60" i="3"/>
  <c r="R82" i="3"/>
  <c r="R92" i="3" s="1"/>
  <c r="U77" i="3"/>
  <c r="U78" i="3"/>
  <c r="U79" i="3"/>
  <c r="U105" i="3"/>
  <c r="U115" i="3" s="1"/>
  <c r="W115" i="3" s="1"/>
  <c r="U151" i="3"/>
  <c r="U161" i="3" s="1"/>
  <c r="U298" i="3"/>
  <c r="W232" i="3"/>
  <c r="W231" i="3"/>
  <c r="W278" i="3"/>
  <c r="W277" i="3"/>
  <c r="W137" i="3"/>
  <c r="W184" i="3"/>
  <c r="V183" i="3"/>
  <c r="W160" i="3"/>
  <c r="W161" i="3"/>
  <c r="U10" i="3"/>
  <c r="V10" i="3" s="1"/>
  <c r="R12" i="3"/>
  <c r="R22" i="3" s="1"/>
  <c r="U29" i="3"/>
  <c r="U75" i="3"/>
  <c r="U80" i="3"/>
  <c r="Q284" i="3"/>
  <c r="P296" i="3"/>
  <c r="U6" i="3"/>
  <c r="U8" i="3"/>
  <c r="S12" i="3"/>
  <c r="S22" i="3" s="1"/>
  <c r="U14" i="3"/>
  <c r="P285" i="3"/>
  <c r="P287" i="3"/>
  <c r="P12" i="3"/>
  <c r="P22" i="3" s="1"/>
  <c r="T12" i="3"/>
  <c r="T22" i="3" s="1"/>
  <c r="U16" i="3"/>
  <c r="U52" i="3"/>
  <c r="C82" i="2"/>
  <c r="B90" i="2"/>
  <c r="B91" i="2" s="1"/>
  <c r="B44" i="2"/>
  <c r="B72" i="2"/>
  <c r="B33" i="2"/>
  <c r="C33" i="2"/>
  <c r="B180" i="2"/>
  <c r="B245" i="2" s="1"/>
  <c r="B64" i="2"/>
  <c r="C11" i="2"/>
  <c r="C34" i="2" s="1"/>
  <c r="B54" i="2"/>
  <c r="C44" i="2"/>
  <c r="C72" i="2"/>
  <c r="C90" i="2"/>
  <c r="C64" i="2"/>
  <c r="C65" i="2" s="1"/>
  <c r="C180" i="2"/>
  <c r="C245" i="2" s="1"/>
  <c r="H82" i="2"/>
  <c r="L82" i="2"/>
  <c r="N61" i="2"/>
  <c r="P61" i="2" s="1"/>
  <c r="Q61" i="2" s="1"/>
  <c r="N41" i="2"/>
  <c r="P41" i="2" s="1"/>
  <c r="Q41" i="2" s="1"/>
  <c r="L180" i="2"/>
  <c r="L245" i="2" s="1"/>
  <c r="N52" i="2"/>
  <c r="P52" i="2" s="1"/>
  <c r="Q52" i="2" s="1"/>
  <c r="N58" i="2"/>
  <c r="P58" i="2" s="1"/>
  <c r="Q58" i="2" s="1"/>
  <c r="N18" i="2"/>
  <c r="P18" i="2" s="1"/>
  <c r="Q18" i="2" s="1"/>
  <c r="N27" i="2"/>
  <c r="P27" i="2" s="1"/>
  <c r="Q27" i="2" s="1"/>
  <c r="D82" i="2"/>
  <c r="N51" i="2"/>
  <c r="P51" i="2" s="1"/>
  <c r="Q51" i="2" s="1"/>
  <c r="J11" i="2"/>
  <c r="D11" i="2"/>
  <c r="F180" i="2"/>
  <c r="F245" i="2" s="1"/>
  <c r="J180" i="2"/>
  <c r="J245" i="2" s="1"/>
  <c r="N8" i="2"/>
  <c r="P8" i="2" s="1"/>
  <c r="Q8" i="2" s="1"/>
  <c r="N15" i="2"/>
  <c r="P15" i="2" s="1"/>
  <c r="Q15" i="2" s="1"/>
  <c r="N26" i="2"/>
  <c r="P26" i="2" s="1"/>
  <c r="Q26" i="2" s="1"/>
  <c r="N88" i="2"/>
  <c r="P88" i="2" s="1"/>
  <c r="Q88" i="2" s="1"/>
  <c r="H11" i="2"/>
  <c r="E33" i="2"/>
  <c r="N24" i="2"/>
  <c r="P24" i="2" s="1"/>
  <c r="Q24" i="2" s="1"/>
  <c r="N23" i="2"/>
  <c r="P23" i="2" s="1"/>
  <c r="Q23" i="2" s="1"/>
  <c r="N31" i="2"/>
  <c r="P31" i="2" s="1"/>
  <c r="Q31" i="2" s="1"/>
  <c r="N37" i="2"/>
  <c r="P37" i="2" s="1"/>
  <c r="Q37" i="2" s="1"/>
  <c r="N57" i="2"/>
  <c r="P57" i="2" s="1"/>
  <c r="Q57" i="2" s="1"/>
  <c r="G245" i="2"/>
  <c r="H72" i="2"/>
  <c r="L72" i="2"/>
  <c r="L11" i="2"/>
  <c r="I33" i="2"/>
  <c r="N32" i="2"/>
  <c r="P32" i="2" s="1"/>
  <c r="Q32" i="2" s="1"/>
  <c r="E54" i="2"/>
  <c r="L54" i="2"/>
  <c r="N59" i="2"/>
  <c r="P59" i="2" s="1"/>
  <c r="Q59" i="2" s="1"/>
  <c r="N9" i="2"/>
  <c r="P9" i="2" s="1"/>
  <c r="Q9" i="2" s="1"/>
  <c r="N21" i="2"/>
  <c r="P21" i="2" s="1"/>
  <c r="Q21" i="2" s="1"/>
  <c r="N28" i="2"/>
  <c r="P28" i="2" s="1"/>
  <c r="Q28" i="2" s="1"/>
  <c r="I90" i="2"/>
  <c r="N70" i="2"/>
  <c r="P70" i="2" s="1"/>
  <c r="Q70" i="2" s="1"/>
  <c r="F82" i="2"/>
  <c r="D180" i="2"/>
  <c r="D245" i="2" s="1"/>
  <c r="H180" i="2"/>
  <c r="H245" i="2" s="1"/>
  <c r="D72" i="2"/>
  <c r="E90" i="2"/>
  <c r="N69" i="2"/>
  <c r="P69" i="2" s="1"/>
  <c r="Q69" i="2" s="1"/>
  <c r="K72" i="2"/>
  <c r="N29" i="2"/>
  <c r="P29" i="2" s="1"/>
  <c r="Q29" i="2" s="1"/>
  <c r="F54" i="2"/>
  <c r="N176" i="2"/>
  <c r="P176" i="2" s="1"/>
  <c r="Q176" i="2" s="1"/>
  <c r="E179" i="2"/>
  <c r="E180" i="2" s="1"/>
  <c r="E245" i="2" s="1"/>
  <c r="E72" i="2"/>
  <c r="I72" i="2"/>
  <c r="N224" i="2"/>
  <c r="E11" i="2"/>
  <c r="N10" i="2"/>
  <c r="K33" i="2"/>
  <c r="D44" i="2"/>
  <c r="K82" i="2"/>
  <c r="F90" i="2"/>
  <c r="E64" i="2"/>
  <c r="E80" i="2"/>
  <c r="E82" i="2" s="1"/>
  <c r="G33" i="2"/>
  <c r="J54" i="2"/>
  <c r="G72" i="2"/>
  <c r="G90" i="2"/>
  <c r="F11" i="2"/>
  <c r="N6" i="2"/>
  <c r="P6" i="2" s="1"/>
  <c r="Q6" i="2" s="1"/>
  <c r="N19" i="2"/>
  <c r="I54" i="2"/>
  <c r="H54" i="2"/>
  <c r="D90" i="2"/>
  <c r="H90" i="2"/>
  <c r="L90" i="2"/>
  <c r="K64" i="2"/>
  <c r="F72" i="2"/>
  <c r="M33" i="2"/>
  <c r="M72" i="2"/>
  <c r="N14" i="2"/>
  <c r="F33" i="2"/>
  <c r="J33" i="2"/>
  <c r="N17" i="2"/>
  <c r="P17" i="2" s="1"/>
  <c r="Q17" i="2" s="1"/>
  <c r="K90" i="2"/>
  <c r="I11" i="2"/>
  <c r="I34" i="2" s="1"/>
  <c r="M11" i="2"/>
  <c r="N86" i="2"/>
  <c r="P86" i="2" s="1"/>
  <c r="Q86" i="2" s="1"/>
  <c r="N89" i="2"/>
  <c r="P89" i="2" s="1"/>
  <c r="Q89" i="2" s="1"/>
  <c r="N39" i="2"/>
  <c r="P39" i="2" s="1"/>
  <c r="Q39" i="2" s="1"/>
  <c r="N50" i="2"/>
  <c r="H64" i="2"/>
  <c r="M64" i="2"/>
  <c r="N67" i="2"/>
  <c r="J80" i="2"/>
  <c r="J82" i="2" s="1"/>
  <c r="N5" i="2"/>
  <c r="G82" i="2"/>
  <c r="M54" i="2"/>
  <c r="N63" i="2"/>
  <c r="P63" i="2" s="1"/>
  <c r="Q63" i="2" s="1"/>
  <c r="D64" i="2"/>
  <c r="I64" i="2"/>
  <c r="N71" i="2"/>
  <c r="P71" i="2" s="1"/>
  <c r="Q71" i="2" s="1"/>
  <c r="I81" i="2"/>
  <c r="I82" i="2" s="1"/>
  <c r="M85" i="2"/>
  <c r="N85" i="2" s="1"/>
  <c r="N211" i="2"/>
  <c r="P211" i="2" s="1"/>
  <c r="Q211" i="2" s="1"/>
  <c r="P214" i="2"/>
  <c r="Q214" i="2" s="1"/>
  <c r="G11" i="2"/>
  <c r="K11" i="2"/>
  <c r="N7" i="2"/>
  <c r="P7" i="2" s="1"/>
  <c r="Q7" i="2" s="1"/>
  <c r="N16" i="2"/>
  <c r="P16" i="2" s="1"/>
  <c r="Q16" i="2" s="1"/>
  <c r="N22" i="2"/>
  <c r="P22" i="2" s="1"/>
  <c r="Q22" i="2" s="1"/>
  <c r="E44" i="2"/>
  <c r="N38" i="2"/>
  <c r="P38" i="2" s="1"/>
  <c r="Q38" i="2" s="1"/>
  <c r="D54" i="2"/>
  <c r="F64" i="2"/>
  <c r="J90" i="2"/>
  <c r="J68" i="2"/>
  <c r="J72" i="2" s="1"/>
  <c r="P101" i="2"/>
  <c r="Q101" i="2" s="1"/>
  <c r="N122" i="2"/>
  <c r="P122" i="2" s="1"/>
  <c r="Q122" i="2" s="1"/>
  <c r="D33" i="2"/>
  <c r="H33" i="2"/>
  <c r="L33" i="2"/>
  <c r="N53" i="2"/>
  <c r="P53" i="2" s="1"/>
  <c r="Q53" i="2" s="1"/>
  <c r="N60" i="2"/>
  <c r="P60" i="2" s="1"/>
  <c r="Q60" i="2" s="1"/>
  <c r="G64" i="2"/>
  <c r="L64" i="2"/>
  <c r="M81" i="2"/>
  <c r="M82" i="2" s="1"/>
  <c r="I180" i="2"/>
  <c r="I245" i="2" s="1"/>
  <c r="M180" i="2"/>
  <c r="N243" i="2"/>
  <c r="P243" i="2" s="1"/>
  <c r="Q243" i="2" s="1"/>
  <c r="G54" i="2"/>
  <c r="K54" i="2"/>
  <c r="N56" i="2"/>
  <c r="J64" i="2"/>
  <c r="N87" i="2"/>
  <c r="P87" i="2" s="1"/>
  <c r="Q87" i="2" s="1"/>
  <c r="N193" i="2"/>
  <c r="P193" i="2" s="1"/>
  <c r="Q193" i="2" s="1"/>
  <c r="U287" i="3" l="1"/>
  <c r="W114" i="3"/>
  <c r="D52" i="8"/>
  <c r="D44" i="1"/>
  <c r="S66" i="8"/>
  <c r="U66" i="8"/>
  <c r="W66" i="8" s="1"/>
  <c r="S18" i="8"/>
  <c r="U18" i="8"/>
  <c r="W18" i="8" s="1"/>
  <c r="S89" i="8"/>
  <c r="U89" i="8"/>
  <c r="W89" i="8" s="1"/>
  <c r="B65" i="2"/>
  <c r="W183" i="3"/>
  <c r="G53" i="1"/>
  <c r="S86" i="8"/>
  <c r="U86" i="8"/>
  <c r="W86" i="8" s="1"/>
  <c r="B93" i="8"/>
  <c r="G77" i="8"/>
  <c r="U62" i="8"/>
  <c r="W62" i="8" s="1"/>
  <c r="S62" i="8"/>
  <c r="S42" i="8"/>
  <c r="U42" i="8"/>
  <c r="W42" i="8" s="1"/>
  <c r="S28" i="8"/>
  <c r="U28" i="8"/>
  <c r="W28" i="8" s="1"/>
  <c r="U19" i="8"/>
  <c r="W19" i="8" s="1"/>
  <c r="S19" i="8"/>
  <c r="C23" i="8"/>
  <c r="C35" i="8" s="1"/>
  <c r="S92" i="8"/>
  <c r="U46" i="8"/>
  <c r="W46" i="8" s="1"/>
  <c r="S46" i="8"/>
  <c r="C95" i="8"/>
  <c r="C93" i="8"/>
  <c r="U71" i="8"/>
  <c r="W71" i="8" s="1"/>
  <c r="S71" i="8"/>
  <c r="G16" i="8"/>
  <c r="B23" i="8"/>
  <c r="S80" i="8"/>
  <c r="U80" i="8"/>
  <c r="W80" i="8" s="1"/>
  <c r="S41" i="8"/>
  <c r="U41" i="8"/>
  <c r="W41" i="8" s="1"/>
  <c r="B105" i="8"/>
  <c r="G105" i="8" s="1"/>
  <c r="S105" i="8" s="1"/>
  <c r="G98" i="8"/>
  <c r="S98" i="8" s="1"/>
  <c r="U65" i="8"/>
  <c r="W65" i="8" s="1"/>
  <c r="S65" i="8"/>
  <c r="U44" i="8"/>
  <c r="W44" i="8" s="1"/>
  <c r="S44" i="8"/>
  <c r="U53" i="8"/>
  <c r="W53" i="8" s="1"/>
  <c r="S53" i="8"/>
  <c r="D91" i="2"/>
  <c r="B15" i="1"/>
  <c r="D32" i="8"/>
  <c r="D33" i="8" s="1"/>
  <c r="D24" i="1"/>
  <c r="D25" i="1" s="1"/>
  <c r="B97" i="1"/>
  <c r="U296" i="3"/>
  <c r="W254" i="3"/>
  <c r="B85" i="1"/>
  <c r="G70" i="1"/>
  <c r="S90" i="8"/>
  <c r="S84" i="8"/>
  <c r="U84" i="8"/>
  <c r="W84" i="8" s="1"/>
  <c r="U61" i="8"/>
  <c r="W61" i="8" s="1"/>
  <c r="S61" i="8"/>
  <c r="U45" i="8"/>
  <c r="W45" i="8" s="1"/>
  <c r="S45" i="8"/>
  <c r="S27" i="8"/>
  <c r="U27" i="8"/>
  <c r="W27" i="8" s="1"/>
  <c r="S73" i="8"/>
  <c r="U68" i="8"/>
  <c r="W68" i="8" s="1"/>
  <c r="S68" i="8"/>
  <c r="U60" i="8"/>
  <c r="W60" i="8" s="1"/>
  <c r="S60" i="8"/>
  <c r="S47" i="8"/>
  <c r="G26" i="8"/>
  <c r="G17" i="8"/>
  <c r="U64" i="8"/>
  <c r="W64" i="8" s="1"/>
  <c r="S64" i="8"/>
  <c r="S43" i="8"/>
  <c r="U43" i="8"/>
  <c r="W43" i="8" s="1"/>
  <c r="R291" i="3"/>
  <c r="S85" i="8"/>
  <c r="U85" i="8"/>
  <c r="W85" i="8" s="1"/>
  <c r="U54" i="8"/>
  <c r="W54" i="8" s="1"/>
  <c r="S54" i="8"/>
  <c r="U29" i="8"/>
  <c r="W29" i="8" s="1"/>
  <c r="S29" i="8"/>
  <c r="P224" i="2"/>
  <c r="Q224" i="2" s="1"/>
  <c r="B70" i="8"/>
  <c r="G70" i="8" s="1"/>
  <c r="B62" i="1"/>
  <c r="G62" i="1" s="1"/>
  <c r="B34" i="2"/>
  <c r="B45" i="2" s="1"/>
  <c r="C91" i="2"/>
  <c r="D22" i="8"/>
  <c r="D23" i="8" s="1"/>
  <c r="D14" i="1"/>
  <c r="D15" i="1" s="1"/>
  <c r="D27" i="1" s="1"/>
  <c r="B41" i="1"/>
  <c r="G50" i="1"/>
  <c r="U91" i="8"/>
  <c r="W91" i="8" s="1"/>
  <c r="S91" i="8"/>
  <c r="G81" i="8"/>
  <c r="G67" i="8"/>
  <c r="S57" i="8"/>
  <c r="U57" i="8"/>
  <c r="W57" i="8" s="1"/>
  <c r="S30" i="8"/>
  <c r="U30" i="8"/>
  <c r="W30" i="8" s="1"/>
  <c r="B32" i="8"/>
  <c r="B33" i="8" s="1"/>
  <c r="G33" i="8" s="1"/>
  <c r="U20" i="8"/>
  <c r="W20" i="8" s="1"/>
  <c r="S20" i="8"/>
  <c r="C15" i="1"/>
  <c r="C27" i="1" s="1"/>
  <c r="B24" i="1"/>
  <c r="G58" i="8"/>
  <c r="B49" i="8"/>
  <c r="G40" i="8"/>
  <c r="G78" i="8"/>
  <c r="G14" i="1"/>
  <c r="G41" i="1"/>
  <c r="G97" i="1"/>
  <c r="F99" i="1"/>
  <c r="F103" i="1" s="1"/>
  <c r="S291" i="3"/>
  <c r="U293" i="3"/>
  <c r="V91" i="3"/>
  <c r="U288" i="3"/>
  <c r="T291" i="3"/>
  <c r="C99" i="1"/>
  <c r="C103" i="1" s="1"/>
  <c r="F50" i="6"/>
  <c r="F29" i="6"/>
  <c r="U285" i="3"/>
  <c r="Q301" i="3"/>
  <c r="V67" i="3"/>
  <c r="U286" i="3"/>
  <c r="U295" i="3"/>
  <c r="C45" i="2"/>
  <c r="U35" i="3"/>
  <c r="U45" i="3" s="1"/>
  <c r="W46" i="3" s="1"/>
  <c r="R301" i="3"/>
  <c r="G85" i="1"/>
  <c r="G15" i="1"/>
  <c r="F60" i="5"/>
  <c r="B67" i="5"/>
  <c r="F22" i="5"/>
  <c r="T301" i="3"/>
  <c r="U58" i="3"/>
  <c r="U68" i="3" s="1"/>
  <c r="S301" i="3"/>
  <c r="Q291" i="3"/>
  <c r="W206" i="3"/>
  <c r="V45" i="3"/>
  <c r="U12" i="3"/>
  <c r="U22" i="3" s="1"/>
  <c r="U82" i="3"/>
  <c r="U92" i="3" s="1"/>
  <c r="V22" i="3"/>
  <c r="P301" i="3"/>
  <c r="U284" i="3"/>
  <c r="P291" i="3"/>
  <c r="D34" i="2"/>
  <c r="L65" i="2"/>
  <c r="L34" i="2"/>
  <c r="L73" i="2" s="1"/>
  <c r="L247" i="2" s="1"/>
  <c r="C73" i="2"/>
  <c r="C77" i="2" s="1"/>
  <c r="B73" i="2"/>
  <c r="C35" i="2"/>
  <c r="E34" i="2"/>
  <c r="E35" i="2" s="1"/>
  <c r="J65" i="2"/>
  <c r="L91" i="2"/>
  <c r="H91" i="2"/>
  <c r="H34" i="2"/>
  <c r="K34" i="2"/>
  <c r="E91" i="2"/>
  <c r="K91" i="2"/>
  <c r="I65" i="2"/>
  <c r="K65" i="2"/>
  <c r="E65" i="2"/>
  <c r="E73" i="2" s="1"/>
  <c r="E247" i="2" s="1"/>
  <c r="H65" i="2"/>
  <c r="F91" i="2"/>
  <c r="N68" i="2"/>
  <c r="P68" i="2" s="1"/>
  <c r="Q68" i="2" s="1"/>
  <c r="I91" i="2"/>
  <c r="N179" i="2"/>
  <c r="P179" i="2" s="1"/>
  <c r="Q179" i="2" s="1"/>
  <c r="J34" i="2"/>
  <c r="J35" i="2" s="1"/>
  <c r="G91" i="2"/>
  <c r="N234" i="2"/>
  <c r="P234" i="2" s="1"/>
  <c r="Q234" i="2" s="1"/>
  <c r="N80" i="2"/>
  <c r="P80" i="2" s="1"/>
  <c r="Q80" i="2" s="1"/>
  <c r="N81" i="2"/>
  <c r="P81" i="2" s="1"/>
  <c r="Q81" i="2" s="1"/>
  <c r="D65" i="2"/>
  <c r="D73" i="2" s="1"/>
  <c r="J91" i="2"/>
  <c r="F34" i="2"/>
  <c r="F65" i="2"/>
  <c r="G34" i="2"/>
  <c r="G35" i="2" s="1"/>
  <c r="N44" i="2"/>
  <c r="P44" i="2" s="1"/>
  <c r="Q44" i="2" s="1"/>
  <c r="D45" i="2"/>
  <c r="D35" i="2"/>
  <c r="N64" i="2"/>
  <c r="P64" i="2" s="1"/>
  <c r="Q64" i="2" s="1"/>
  <c r="P56" i="2"/>
  <c r="Q56" i="2" s="1"/>
  <c r="M245" i="2"/>
  <c r="N11" i="2"/>
  <c r="P5" i="2"/>
  <c r="Q5" i="2" s="1"/>
  <c r="M34" i="2"/>
  <c r="P85" i="2"/>
  <c r="Q85" i="2" s="1"/>
  <c r="N90" i="2"/>
  <c r="N180" i="2"/>
  <c r="M65" i="2"/>
  <c r="P14" i="2"/>
  <c r="Q14" i="2" s="1"/>
  <c r="N33" i="2"/>
  <c r="P33" i="2" s="1"/>
  <c r="Q33" i="2" s="1"/>
  <c r="J45" i="2"/>
  <c r="J73" i="2"/>
  <c r="M90" i="2"/>
  <c r="P50" i="2"/>
  <c r="Q50" i="2" s="1"/>
  <c r="N54" i="2"/>
  <c r="I73" i="2"/>
  <c r="I45" i="2"/>
  <c r="I35" i="2"/>
  <c r="H73" i="2"/>
  <c r="H45" i="2"/>
  <c r="H35" i="2"/>
  <c r="G65" i="2"/>
  <c r="K73" i="2"/>
  <c r="K45" i="2"/>
  <c r="K35" i="2"/>
  <c r="P67" i="2"/>
  <c r="Q67" i="2" s="1"/>
  <c r="H27" i="8" l="1"/>
  <c r="U33" i="8"/>
  <c r="W33" i="8" s="1"/>
  <c r="H31" i="8"/>
  <c r="H30" i="8"/>
  <c r="H28" i="8"/>
  <c r="H29" i="8"/>
  <c r="B95" i="8"/>
  <c r="G95" i="8" s="1"/>
  <c r="G49" i="8"/>
  <c r="B35" i="8"/>
  <c r="G23" i="8"/>
  <c r="D66" i="1"/>
  <c r="D87" i="1" s="1"/>
  <c r="D99" i="1" s="1"/>
  <c r="D103" i="1" s="1"/>
  <c r="G44" i="1"/>
  <c r="L35" i="2"/>
  <c r="B35" i="2"/>
  <c r="U58" i="8"/>
  <c r="W58" i="8" s="1"/>
  <c r="S58" i="8"/>
  <c r="U26" i="8"/>
  <c r="W26" i="8" s="1"/>
  <c r="S26" i="8"/>
  <c r="H26" i="8"/>
  <c r="S16" i="8"/>
  <c r="U16" i="8"/>
  <c r="W16" i="8" s="1"/>
  <c r="C107" i="8"/>
  <c r="C111" i="8" s="1"/>
  <c r="D74" i="8"/>
  <c r="D95" i="8" s="1"/>
  <c r="G52" i="8"/>
  <c r="U17" i="8"/>
  <c r="W17" i="8" s="1"/>
  <c r="S17" i="8"/>
  <c r="H17" i="8"/>
  <c r="L45" i="2"/>
  <c r="S78" i="8"/>
  <c r="U78" i="8"/>
  <c r="W78" i="8" s="1"/>
  <c r="G24" i="1"/>
  <c r="B25" i="1"/>
  <c r="U67" i="8"/>
  <c r="W67" i="8" s="1"/>
  <c r="S67" i="8"/>
  <c r="D35" i="8"/>
  <c r="U70" i="8"/>
  <c r="W70" i="8" s="1"/>
  <c r="S70" i="8"/>
  <c r="B74" i="8"/>
  <c r="G74" i="8" s="1"/>
  <c r="U77" i="8"/>
  <c r="W77" i="8" s="1"/>
  <c r="S77" i="8"/>
  <c r="G22" i="8"/>
  <c r="S40" i="8"/>
  <c r="U40" i="8"/>
  <c r="W40" i="8" s="1"/>
  <c r="H40" i="8"/>
  <c r="G32" i="8"/>
  <c r="S81" i="8"/>
  <c r="U81" i="8"/>
  <c r="W81" i="8" s="1"/>
  <c r="G93" i="8"/>
  <c r="B66" i="1"/>
  <c r="G66" i="1" s="1"/>
  <c r="W45" i="3"/>
  <c r="W67" i="3"/>
  <c r="F52" i="6"/>
  <c r="U291" i="3"/>
  <c r="U301" i="3" s="1"/>
  <c r="W301" i="3" s="1"/>
  <c r="W68" i="3"/>
  <c r="V300" i="3"/>
  <c r="F67" i="5"/>
  <c r="W92" i="3"/>
  <c r="W91" i="3"/>
  <c r="W23" i="3"/>
  <c r="W22" i="3"/>
  <c r="C247" i="2"/>
  <c r="B247" i="2"/>
  <c r="B77" i="2"/>
  <c r="E45" i="2"/>
  <c r="G45" i="2"/>
  <c r="G73" i="2"/>
  <c r="G77" i="2" s="1"/>
  <c r="N72" i="2"/>
  <c r="P72" i="2" s="1"/>
  <c r="Q72" i="2" s="1"/>
  <c r="E77" i="2"/>
  <c r="N82" i="2"/>
  <c r="N91" i="2" s="1"/>
  <c r="F73" i="2"/>
  <c r="F77" i="2" s="1"/>
  <c r="F35" i="2"/>
  <c r="F45" i="2"/>
  <c r="K247" i="2"/>
  <c r="K77" i="2"/>
  <c r="I77" i="2"/>
  <c r="I247" i="2"/>
  <c r="H247" i="2"/>
  <c r="H77" i="2"/>
  <c r="P54" i="2"/>
  <c r="Q54" i="2" s="1"/>
  <c r="N65" i="2"/>
  <c r="P65" i="2" s="1"/>
  <c r="Q65" i="2" s="1"/>
  <c r="M91" i="2"/>
  <c r="P180" i="2"/>
  <c r="Q180" i="2" s="1"/>
  <c r="N245" i="2"/>
  <c r="P245" i="2" s="1"/>
  <c r="Q245" i="2" s="1"/>
  <c r="M45" i="2"/>
  <c r="M35" i="2"/>
  <c r="M73" i="2"/>
  <c r="J247" i="2"/>
  <c r="J77" i="2"/>
  <c r="P90" i="2"/>
  <c r="Q90" i="2" s="1"/>
  <c r="P11" i="2"/>
  <c r="Q11" i="2" s="1"/>
  <c r="N34" i="2"/>
  <c r="D77" i="2"/>
  <c r="D247" i="2"/>
  <c r="U95" i="8" l="1"/>
  <c r="S95" i="8"/>
  <c r="H79" i="8"/>
  <c r="U93" i="8"/>
  <c r="W93" i="8" s="1"/>
  <c r="S93" i="8"/>
  <c r="H88" i="8"/>
  <c r="H83" i="8"/>
  <c r="H82" i="8"/>
  <c r="H87" i="8"/>
  <c r="H89" i="8"/>
  <c r="H92" i="8"/>
  <c r="H85" i="8"/>
  <c r="H86" i="8"/>
  <c r="H90" i="8"/>
  <c r="H80" i="8"/>
  <c r="H84" i="8"/>
  <c r="H91" i="8"/>
  <c r="S32" i="8"/>
  <c r="S33" i="8" s="1"/>
  <c r="U32" i="8"/>
  <c r="W32" i="8" s="1"/>
  <c r="H32" i="8"/>
  <c r="S22" i="8"/>
  <c r="U22" i="8"/>
  <c r="W22" i="8" s="1"/>
  <c r="H22" i="8"/>
  <c r="H72" i="8"/>
  <c r="H63" i="8"/>
  <c r="H55" i="8"/>
  <c r="H69" i="8"/>
  <c r="H59" i="8"/>
  <c r="S74" i="8"/>
  <c r="U74" i="8"/>
  <c r="W74" i="8" s="1"/>
  <c r="H56" i="8"/>
  <c r="H62" i="8"/>
  <c r="H53" i="8"/>
  <c r="H73" i="8"/>
  <c r="H54" i="8"/>
  <c r="H57" i="8"/>
  <c r="H71" i="8"/>
  <c r="H61" i="8"/>
  <c r="H68" i="8"/>
  <c r="H66" i="8"/>
  <c r="H65" i="8"/>
  <c r="H60" i="8"/>
  <c r="H64" i="8"/>
  <c r="G25" i="1"/>
  <c r="B27" i="1"/>
  <c r="H16" i="8"/>
  <c r="S23" i="8"/>
  <c r="U23" i="8"/>
  <c r="W23" i="8" s="1"/>
  <c r="H21" i="8"/>
  <c r="H20" i="8"/>
  <c r="H18" i="8"/>
  <c r="H19" i="8"/>
  <c r="H81" i="8"/>
  <c r="H77" i="8"/>
  <c r="H93" i="8" s="1"/>
  <c r="H70" i="8"/>
  <c r="H67" i="8"/>
  <c r="U52" i="8"/>
  <c r="W52" i="8" s="1"/>
  <c r="S52" i="8"/>
  <c r="H52" i="8"/>
  <c r="H58" i="8"/>
  <c r="G35" i="8"/>
  <c r="B107" i="8"/>
  <c r="H78" i="8"/>
  <c r="D107" i="8"/>
  <c r="D111" i="8" s="1"/>
  <c r="H33" i="8"/>
  <c r="U49" i="8"/>
  <c r="W49" i="8" s="1"/>
  <c r="S49" i="8"/>
  <c r="H48" i="8"/>
  <c r="H45" i="8"/>
  <c r="H47" i="8"/>
  <c r="H41" i="8"/>
  <c r="H44" i="8"/>
  <c r="H43" i="8"/>
  <c r="H42" i="8"/>
  <c r="H49" i="8" s="1"/>
  <c r="H46" i="8"/>
  <c r="B87" i="1"/>
  <c r="G87" i="1" s="1"/>
  <c r="W300" i="3"/>
  <c r="F247" i="2"/>
  <c r="G247" i="2"/>
  <c r="P82" i="2"/>
  <c r="Q82" i="2" s="1"/>
  <c r="P91" i="2"/>
  <c r="Q91" i="2" s="1"/>
  <c r="N45" i="2"/>
  <c r="P45" i="2" s="1"/>
  <c r="Q45" i="2" s="1"/>
  <c r="N35" i="2"/>
  <c r="P35" i="2" s="1"/>
  <c r="Q35" i="2" s="1"/>
  <c r="N73" i="2"/>
  <c r="P34" i="2"/>
  <c r="Q34" i="2" s="1"/>
  <c r="M247" i="2"/>
  <c r="U35" i="8" l="1"/>
  <c r="W35" i="8" s="1"/>
  <c r="S35" i="8"/>
  <c r="H23" i="8"/>
  <c r="B111" i="8"/>
  <c r="G107" i="8"/>
  <c r="B99" i="1"/>
  <c r="G27" i="1"/>
  <c r="H74" i="8"/>
  <c r="N247" i="2"/>
  <c r="P247" i="2" s="1"/>
  <c r="Q247" i="2" s="1"/>
  <c r="P73" i="2"/>
  <c r="Q73" i="2" s="1"/>
  <c r="B103" i="1" l="1"/>
  <c r="G99" i="1"/>
  <c r="G103" i="1" s="1"/>
  <c r="S107" i="8"/>
  <c r="G104" i="1"/>
  <c r="G111" i="8"/>
</calcChain>
</file>

<file path=xl/sharedStrings.xml><?xml version="1.0" encoding="utf-8"?>
<sst xmlns="http://schemas.openxmlformats.org/spreadsheetml/2006/main" count="1135" uniqueCount="427">
  <si>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</si>
  <si>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</si>
  <si>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</si>
  <si>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</si>
  <si>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</si>
  <si>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</si>
  <si>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</si>
  <si>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</si>
  <si>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</si>
  <si>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</si>
  <si>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</si>
  <si>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</si>
  <si>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</si>
  <si>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</si>
  <si>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</si>
  <si>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</si>
  <si>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Platinum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</si>
  <si>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</si>
  <si>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</si>
  <si>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</si>
  <si>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</si>
  <si>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</si>
  <si>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</si>
  <si>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</si>
  <si>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</si>
  <si>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</si>
  <si>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</si>
  <si>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</si>
  <si>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</si>
  <si>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</si>
  <si>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</si>
  <si>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</si>
  <si>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</si>
  <si>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</si>
  <si>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</si>
  <si>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</si>
  <si>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</si>
  <si>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</si>
  <si>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</si>
  <si>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</si>
  <si>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</si>
  <si>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</si>
  <si>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</si>
  <si>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</si>
  <si>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</si>
  <si>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</si>
  <si>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</si>
  <si>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</si>
  <si>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</si>
  <si>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</si>
  <si>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</si>
  <si>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</si>
  <si>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</si>
  <si>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</si>
  <si>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</si>
  <si>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</si>
  <si>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</si>
  <si>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</si>
  <si>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</si>
  <si>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</si>
  <si>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</si>
  <si>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</si>
  <si>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</si>
  <si>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</si>
  <si>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</si>
  <si>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</si>
  <si>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</si>
  <si>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</si>
  <si>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</si>
  <si>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</si>
  <si>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</si>
  <si>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</si>
  <si>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</si>
  <si>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</si>
  <si>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</si>
  <si>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</si>
  <si>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</si>
  <si>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</si>
  <si>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</si>
  <si>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</si>
  <si>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</si>
  <si>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</si>
  <si>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</si>
  <si>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</si>
  <si>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</si>
  <si>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</si>
  <si>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</si>
  <si>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</si>
  <si>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</si>
  <si>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</si>
  <si>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</si>
  <si>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</si>
  <si>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</si>
  <si>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</si>
  <si>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</si>
  <si>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</si>
  <si>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</si>
  <si>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</si>
  <si>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</si>
  <si>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</si>
  <si>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</si>
  <si>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</si>
  <si>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</si>
  <si>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</si>
  <si>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</si>
  <si>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</si>
  <si>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</si>
  <si>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</si>
  <si>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</si>
  <si>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</si>
  <si>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</si>
  <si>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</si>
  <si>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</si>
  <si>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</si>
  <si>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</si>
  <si>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</si>
  <si>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</si>
  <si>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</si>
  <si>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</si>
  <si>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</si>
  <si>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</si>
  <si>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</si>
  <si>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</si>
  <si>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</si>
  <si>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</si>
  <si>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</si>
  <si>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</si>
  <si>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</si>
  <si>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</si>
  <si>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</si>
  <si>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</si>
  <si>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</si>
  <si>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</si>
  <si>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</si>
  <si>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</si>
  <si>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</si>
  <si>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</si>
  <si>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</si>
  <si>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</si>
  <si>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</si>
  <si>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</si>
  <si>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</si>
  <si>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</si>
  <si>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</si>
  <si>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</si>
  <si>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</si>
  <si>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</si>
  <si>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</si>
  <si>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</si>
  <si>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</si>
  <si>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</si>
  <si>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</si>
  <si>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</si>
  <si>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</si>
  <si>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</si>
  <si>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</si>
  <si>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</si>
  <si>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</si>
  <si>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</si>
  <si>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</si>
  <si>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</si>
  <si>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</si>
  <si>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</si>
  <si>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</si>
  <si>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 SPACE - ROOF SOLAR PANELS</t>
  </si>
  <si>
    <t>RENT</t>
  </si>
  <si>
    <t>UTILITIES - ELECTRIC</t>
  </si>
  <si>
    <t>UTIILTIES - GAS</t>
  </si>
  <si>
    <t>UTILITIES - WATER &amp; SEWER</t>
  </si>
  <si>
    <t>SNOW PLOWING &amp; ICE REMOVAL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</si>
  <si>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</si>
  <si>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</si>
  <si>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</si>
  <si>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</si>
  <si>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</si>
  <si>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</si>
  <si>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</si>
  <si>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</si>
  <si>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</si>
  <si>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</si>
  <si>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</si>
  <si>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</si>
  <si>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</si>
  <si>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</si>
  <si>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</si>
  <si>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</si>
  <si>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</si>
  <si>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</si>
  <si>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</si>
  <si>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</si>
  <si>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</si>
  <si>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</si>
  <si>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</si>
  <si>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</si>
  <si>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</si>
  <si>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</si>
  <si>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</si>
  <si>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</si>
  <si>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</si>
  <si>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</si>
  <si>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</si>
  <si>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</si>
  <si>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</si>
  <si>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</si>
  <si>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</si>
  <si>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</si>
  <si>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</si>
  <si>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</si>
  <si>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Other Income</t>
  </si>
  <si>
    <t>TOTAL OTHER INCOME/EXPENSE</t>
  </si>
  <si>
    <t>NET INCOME</t>
  </si>
  <si>
    <t>CNT, Inc.</t>
  </si>
  <si>
    <t>Gross Profit by Metal</t>
  </si>
  <si>
    <t>AU</t>
  </si>
  <si>
    <t>AG</t>
  </si>
  <si>
    <t>PT</t>
  </si>
  <si>
    <t>PD</t>
  </si>
  <si>
    <t>RH</t>
  </si>
  <si>
    <t>Total</t>
  </si>
  <si>
    <t>COGS</t>
  </si>
  <si>
    <t>Pool</t>
  </si>
  <si>
    <t>COMEX</t>
  </si>
  <si>
    <t>Market Price Variance</t>
  </si>
  <si>
    <t>Variance</t>
  </si>
  <si>
    <t>Refining &amp; Fabrication</t>
  </si>
  <si>
    <t>Hedge</t>
  </si>
  <si>
    <t>Hedge Tracing</t>
  </si>
  <si>
    <t>Melt Profits</t>
  </si>
  <si>
    <t>Offline Trading Profits</t>
  </si>
  <si>
    <t>Futures Contracts EFP</t>
  </si>
  <si>
    <t>PY Audit Adjustments</t>
  </si>
  <si>
    <t>Double Check</t>
  </si>
  <si>
    <t>Metal Price EOM</t>
  </si>
  <si>
    <t>Financial Statement Analysis</t>
  </si>
  <si>
    <t>Minting</t>
  </si>
  <si>
    <t>ICE Market Adjustment</t>
  </si>
  <si>
    <t>Premium Proof USE to Coin Gold</t>
  </si>
  <si>
    <t>Owners Consignments</t>
  </si>
  <si>
    <t>House Postion Adjustments</t>
  </si>
  <si>
    <t>Projected Gross profits  Dec</t>
  </si>
  <si>
    <t>YTD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</si>
  <si>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</si>
  <si>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</si>
  <si>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</si>
  <si>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</si>
  <si>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</si>
  <si>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</si>
  <si>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</si>
  <si>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</si>
  <si>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</si>
  <si>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</si>
  <si>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</si>
  <si>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Paladium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</si>
  <si>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</si>
  <si>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</si>
  <si>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</si>
  <si>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</si>
  <si>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</si>
  <si>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</si>
  <si>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</si>
  <si>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</si>
  <si>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</si>
  <si>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</si>
  <si>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</si>
  <si>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</si>
  <si>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</si>
  <si>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</si>
  <si>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</si>
  <si>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</si>
  <si>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</si>
  <si>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</si>
  <si>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Snow Plowing &amp; Sanding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</si>
  <si>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</si>
  <si>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</si>
  <si>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</si>
  <si>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</si>
  <si>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</si>
  <si>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</si>
  <si>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</si>
  <si>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</si>
  <si>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</si>
  <si>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</si>
  <si>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</si>
  <si>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</si>
  <si>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</si>
  <si>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</si>
  <si>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</si>
  <si>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</si>
  <si>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</si>
  <si>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Professional Fees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</si>
  <si>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</si>
  <si>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</si>
  <si>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</si>
  <si>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</si>
  <si>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</si>
  <si>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</si>
  <si>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</si>
  <si>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</si>
  <si>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</si>
  <si>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</si>
  <si>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</si>
  <si>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</si>
  <si>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</si>
  <si>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</si>
  <si>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</si>
  <si>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</si>
  <si>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</si>
  <si>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</si>
  <si>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</si>
  <si>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Total Other Income &amp; Expense</t>
  </si>
  <si>
    <t>Other Income &amp; Expense</t>
  </si>
  <si>
    <t>Depository</t>
  </si>
  <si>
    <t>Income and loss</t>
  </si>
  <si>
    <t xml:space="preserve">      Shipping Fees</t>
  </si>
  <si>
    <t xml:space="preserve">      Handling Fees</t>
  </si>
  <si>
    <t xml:space="preserve">      Storage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</si>
  <si>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</si>
  <si>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</si>
  <si>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</si>
  <si>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</si>
  <si>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</si>
  <si>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</si>
  <si>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</si>
  <si>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</si>
  <si>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</si>
  <si>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</si>
  <si>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</si>
  <si>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</si>
  <si>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</si>
  <si>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</si>
  <si>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</si>
  <si>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</si>
  <si>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</si>
  <si>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</si>
  <si>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</si>
  <si>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</si>
  <si>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</si>
  <si>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</si>
  <si>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</si>
  <si>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</si>
  <si>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</si>
  <si>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</si>
  <si>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</si>
  <si>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</si>
  <si>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</si>
  <si>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</si>
  <si>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</si>
  <si>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</si>
  <si>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</si>
  <si>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</si>
  <si>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</si>
  <si>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</si>
  <si>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</si>
  <si>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</si>
  <si>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</si>
  <si>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</si>
  <si>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</si>
  <si>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</si>
  <si>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</si>
  <si>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</si>
  <si>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</si>
  <si>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</si>
  <si>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</si>
  <si>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As of 04.30.18</t>
  </si>
  <si>
    <t>OTHER INCOME/EXPENSE</t>
  </si>
  <si>
    <t xml:space="preserve">      P.O. Variance Adj - Silver</t>
  </si>
  <si>
    <t xml:space="preserve">      Marketing Services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</si>
  <si>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</si>
  <si>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</si>
  <si>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</si>
  <si>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</si>
  <si>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</si>
  <si>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</si>
  <si>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</si>
  <si>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</si>
  <si>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</si>
  <si>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</si>
  <si>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</si>
  <si>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>04.30.17</t>
  </si>
  <si>
    <t xml:space="preserve">      Utilities - Water &amp; Sewer</t>
  </si>
  <si>
    <t>Change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</si>
  <si>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</si>
  <si>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</si>
  <si>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</si>
  <si>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</si>
  <si>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</si>
  <si>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</si>
  <si>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</si>
  <si>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</si>
  <si>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</si>
  <si>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>04.30.18</t>
  </si>
  <si>
    <t>04/30/2018 to 04/30/2017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</si>
  <si>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</si>
  <si>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</si>
  <si>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</si>
  <si>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</si>
  <si>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</si>
  <si>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</si>
  <si>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</si>
  <si>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</si>
  <si>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</si>
  <si>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</si>
  <si>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</si>
  <si>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</si>
  <si>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</si>
  <si>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</si>
  <si>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</si>
  <si>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</si>
  <si>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</si>
  <si>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</si>
  <si>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</si>
  <si>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</si>
  <si>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</si>
  <si>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</si>
  <si>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</si>
  <si>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</si>
  <si>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</si>
  <si>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</si>
  <si>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</si>
  <si>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</si>
  <si>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</si>
  <si>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</si>
  <si>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</si>
  <si>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Utilities - Water &amp; Sewwe</t>
  </si>
  <si>
    <t xml:space="preserve">      Maintenance &amp; Repairs - Buildings</t>
  </si>
  <si>
    <t xml:space="preserve">      Customer gifts &amp; Awards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</si>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</sst>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4" fillId="0" borderId="0" xfId="0" applyFont="1" applyFill="1" applyAlignment="1"/>
    <xf numFmtId="44" fontId="1" fillId="0" borderId="0" xfId="2" applyFont="1" applyFill="1"/>
    <xf numFmtId="0" fontId="1" fillId="0" borderId="0" xfId="0" applyFont="1" applyFill="1"/>
    <xf numFmtId="17" fontId="3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/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2" fillId="0" borderId="0" xfId="2" applyNumberFormat="1" applyFont="1" applyFill="1"/>
    <xf numFmtId="44" fontId="6" fillId="0" borderId="0" xfId="2" applyNumberFormat="1" applyFont="1" applyFill="1"/>
    <xf numFmtId="44" fontId="2" fillId="0" borderId="0" xfId="2" applyFont="1" applyFill="1"/>
    <xf numFmtId="0" fontId="1" fillId="2" borderId="0" xfId="0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1" fillId="0" borderId="0" xfId="0" applyFont="1" applyFill="1" applyBorder="1"/>
    <xf numFmtId="8" fontId="1" fillId="0" borderId="0" xfId="2" applyNumberFormat="1" applyFont="1" applyFill="1" applyBorder="1"/>
    <xf numFmtId="8" fontId="0" fillId="0" borderId="0" xfId="2" applyNumberFormat="1" applyFont="1" applyFill="1" applyBorder="1"/>
    <xf numFmtId="44" fontId="1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7" fillId="0" borderId="0" xfId="2" applyFont="1" applyFill="1"/>
    <xf numFmtId="0" fontId="3" fillId="0" borderId="0" xfId="0" applyFont="1" applyFill="1" applyAlignment="1">
      <alignment wrapText="1"/>
    </xf>
    <xf numFmtId="44" fontId="1" fillId="0" borderId="5" xfId="2" applyFont="1" applyFill="1" applyBorder="1"/>
    <xf numFmtId="44" fontId="6" fillId="0" borderId="6" xfId="2" applyNumberFormat="1" applyFont="1" applyFill="1" applyBorder="1"/>
    <xf numFmtId="44" fontId="2" fillId="0" borderId="6" xfId="2" applyNumberFormat="1" applyFont="1" applyFill="1" applyBorder="1"/>
    <xf numFmtId="44" fontId="6" fillId="0" borderId="2" xfId="2" applyNumberFormat="1" applyFont="1" applyFill="1" applyBorder="1"/>
    <xf numFmtId="44" fontId="6" fillId="0" borderId="5" xfId="2" applyNumberFormat="1" applyFont="1" applyFill="1" applyBorder="1"/>
    <xf numFmtId="8" fontId="1" fillId="0" borderId="2" xfId="2" applyNumberFormat="1" applyFont="1" applyFill="1" applyBorder="1"/>
    <xf numFmtId="0" fontId="1" fillId="0" borderId="7" xfId="0" applyFont="1" applyFill="1" applyBorder="1"/>
    <xf numFmtId="44" fontId="1" fillId="0" borderId="8" xfId="2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44" fontId="1" fillId="0" borderId="11" xfId="0" applyNumberFormat="1" applyFont="1" applyFill="1" applyBorder="1"/>
    <xf numFmtId="44" fontId="1" fillId="0" borderId="12" xfId="2" applyFont="1" applyFill="1" applyBorder="1"/>
    <xf numFmtId="0" fontId="1" fillId="0" borderId="11" xfId="0" applyFont="1" applyFill="1" applyBorder="1"/>
    <xf numFmtId="44" fontId="1" fillId="0" borderId="3" xfId="2" applyFont="1" applyFill="1" applyBorder="1"/>
    <xf numFmtId="44" fontId="1" fillId="0" borderId="13" xfId="2" applyFont="1" applyFill="1" applyBorder="1"/>
    <xf numFmtId="0" fontId="1" fillId="0" borderId="14" xfId="0" applyFont="1" applyFill="1" applyBorder="1"/>
    <xf numFmtId="44" fontId="1" fillId="0" borderId="15" xfId="2" applyFont="1" applyFill="1" applyBorder="1"/>
    <xf numFmtId="0" fontId="1" fillId="0" borderId="16" xfId="0" applyFont="1" applyFill="1" applyBorder="1"/>
    <xf numFmtId="0" fontId="1" fillId="0" borderId="15" xfId="0" applyFont="1" applyFill="1" applyBorder="1"/>
    <xf numFmtId="0" fontId="1" fillId="0" borderId="0" xfId="0" applyFont="1" applyAlignment="1">
      <alignment vertical="top"/>
    </xf>
    <xf numFmtId="0" fontId="3" fillId="0" borderId="0" xfId="0" applyFont="1" applyFill="1"/>
    <xf numFmtId="44" fontId="3" fillId="0" borderId="3" xfId="2" applyFont="1" applyFill="1" applyBorder="1"/>
    <xf numFmtId="0" fontId="1" fillId="3" borderId="0" xfId="0" applyFont="1" applyFill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3" fillId="0" borderId="5" xfId="2" applyFont="1" applyFill="1" applyBorder="1"/>
    <xf numFmtId="44" fontId="3" fillId="0" borderId="3" xfId="0" applyNumberFormat="1" applyFont="1" applyFill="1" applyBorder="1"/>
    <xf numFmtId="44" fontId="1" fillId="0" borderId="0" xfId="0" applyNumberFormat="1" applyFont="1" applyFill="1"/>
    <xf numFmtId="44" fontId="1" fillId="0" borderId="0" xfId="2" applyFont="1"/>
    <xf numFmtId="0" fontId="1" fillId="0" borderId="0" xfId="0" applyFont="1"/>
    <xf numFmtId="43" fontId="1" fillId="0" borderId="0" xfId="1" applyFont="1"/>
    <xf numFmtId="17" fontId="3" fillId="0" borderId="10" xfId="0" applyNumberFormat="1" applyFont="1" applyBorder="1" applyAlignment="1">
      <alignment horizontal="centerContinuous"/>
    </xf>
    <xf numFmtId="43" fontId="3" fillId="0" borderId="0" xfId="1" applyFont="1" applyBorder="1" applyAlignment="1">
      <alignment horizontal="centerContinuous"/>
    </xf>
    <xf numFmtId="43" fontId="3" fillId="0" borderId="11" xfId="1" applyFont="1" applyBorder="1" applyAlignment="1">
      <alignment horizontal="centerContinuous"/>
    </xf>
    <xf numFmtId="0" fontId="3" fillId="0" borderId="10" xfId="0" applyFont="1" applyBorder="1"/>
    <xf numFmtId="43" fontId="3" fillId="0" borderId="0" xfId="1" applyFont="1" applyBorder="1"/>
    <xf numFmtId="43" fontId="3" fillId="0" borderId="11" xfId="1" applyFont="1" applyBorder="1"/>
    <xf numFmtId="44" fontId="3" fillId="0" borderId="0" xfId="2" applyFont="1"/>
    <xf numFmtId="0" fontId="3" fillId="0" borderId="0" xfId="0" applyFont="1"/>
    <xf numFmtId="44" fontId="1" fillId="0" borderId="11" xfId="2" applyFont="1" applyBorder="1"/>
    <xf numFmtId="44" fontId="1" fillId="0" borderId="0" xfId="2" applyNumberFormat="1" applyFont="1"/>
    <xf numFmtId="0" fontId="0" fillId="0" borderId="0" xfId="0" applyFont="1"/>
    <xf numFmtId="8" fontId="1" fillId="4" borderId="0" xfId="2" applyNumberFormat="1" applyFont="1" applyFill="1" applyBorder="1"/>
    <xf numFmtId="8" fontId="1" fillId="0" borderId="1" xfId="2" applyNumberFormat="1" applyFont="1" applyBorder="1"/>
    <xf numFmtId="44" fontId="1" fillId="0" borderId="3" xfId="2" applyNumberFormat="1" applyFont="1" applyBorder="1"/>
    <xf numFmtId="8" fontId="1" fillId="0" borderId="3" xfId="2" applyNumberFormat="1" applyFont="1" applyBorder="1"/>
    <xf numFmtId="44" fontId="1" fillId="0" borderId="13" xfId="2" applyFont="1" applyBorder="1"/>
    <xf numFmtId="8" fontId="1" fillId="0" borderId="0" xfId="2" applyNumberFormat="1" applyFont="1" applyBorder="1"/>
    <xf numFmtId="8" fontId="1" fillId="0" borderId="11" xfId="2" applyNumberFormat="1" applyFont="1" applyBorder="1"/>
    <xf numFmtId="44" fontId="1" fillId="0" borderId="10" xfId="2" applyNumberFormat="1" applyFont="1" applyBorder="1"/>
    <xf numFmtId="44" fontId="1" fillId="0" borderId="0" xfId="0" applyNumberFormat="1" applyFont="1"/>
    <xf numFmtId="44" fontId="1" fillId="0" borderId="0" xfId="2" applyFont="1" applyAlignment="1">
      <alignment horizontal="left"/>
    </xf>
    <xf numFmtId="0" fontId="1" fillId="0" borderId="14" xfId="0" applyFont="1" applyBorder="1"/>
    <xf numFmtId="44" fontId="1" fillId="0" borderId="11" xfId="2" applyFont="1" applyFill="1" applyBorder="1"/>
    <xf numFmtId="44" fontId="1" fillId="4" borderId="0" xfId="2" applyFont="1" applyFill="1" applyBorder="1"/>
    <xf numFmtId="44" fontId="1" fillId="0" borderId="1" xfId="2" applyFont="1" applyBorder="1"/>
    <xf numFmtId="44" fontId="1" fillId="0" borderId="3" xfId="2" applyFont="1" applyBorder="1"/>
    <xf numFmtId="44" fontId="1" fillId="0" borderId="0" xfId="2" applyFont="1" applyBorder="1"/>
    <xf numFmtId="43" fontId="1" fillId="0" borderId="0" xfId="1" applyFont="1" applyBorder="1"/>
    <xf numFmtId="44" fontId="1" fillId="0" borderId="15" xfId="2" applyFont="1" applyBorder="1"/>
    <xf numFmtId="44" fontId="1" fillId="0" borderId="16" xfId="2" applyFont="1" applyBorder="1"/>
    <xf numFmtId="43" fontId="1" fillId="0" borderId="0" xfId="2" applyNumberFormat="1" applyFont="1" applyFill="1"/>
    <xf numFmtId="44" fontId="3" fillId="0" borderId="11" xfId="2" applyNumberFormat="1" applyFont="1" applyBorder="1"/>
    <xf numFmtId="43" fontId="0" fillId="0" borderId="0" xfId="1" applyFont="1"/>
    <xf numFmtId="17" fontId="3" fillId="0" borderId="10" xfId="0" applyNumberFormat="1" applyFont="1" applyFill="1" applyBorder="1" applyAlignment="1">
      <alignment horizontal="centerContinuous"/>
    </xf>
    <xf numFmtId="43" fontId="3" fillId="0" borderId="0" xfId="1" applyFont="1" applyFill="1" applyBorder="1" applyAlignment="1">
      <alignment horizontal="centerContinuous"/>
    </xf>
    <xf numFmtId="43" fontId="3" fillId="0" borderId="11" xfId="1" applyFont="1" applyFill="1" applyBorder="1" applyAlignment="1">
      <alignment horizontal="centerContinuous"/>
    </xf>
    <xf numFmtId="0" fontId="3" fillId="0" borderId="10" xfId="0" applyFont="1" applyFill="1" applyBorder="1"/>
    <xf numFmtId="43" fontId="3" fillId="0" borderId="0" xfId="1" applyFont="1" applyFill="1" applyBorder="1"/>
    <xf numFmtId="43" fontId="3" fillId="0" borderId="11" xfId="1" applyFont="1" applyFill="1" applyBorder="1"/>
    <xf numFmtId="8" fontId="1" fillId="0" borderId="11" xfId="2" applyNumberFormat="1" applyFont="1" applyFill="1" applyBorder="1"/>
    <xf numFmtId="44" fontId="1" fillId="0" borderId="1" xfId="2" applyFont="1" applyFill="1" applyBorder="1"/>
    <xf numFmtId="44" fontId="0" fillId="0" borderId="0" xfId="2" applyFont="1" applyFill="1" applyBorder="1"/>
    <xf numFmtId="43" fontId="1" fillId="0" borderId="0" xfId="1" applyFont="1" applyFill="1" applyBorder="1"/>
    <xf numFmtId="44" fontId="3" fillId="0" borderId="11" xfId="2" applyNumberFormat="1" applyFont="1" applyFill="1" applyBorder="1"/>
    <xf numFmtId="44" fontId="0" fillId="0" borderId="0" xfId="2" applyFont="1"/>
    <xf numFmtId="8" fontId="1" fillId="0" borderId="0" xfId="0" applyNumberFormat="1" applyFont="1"/>
    <xf numFmtId="44" fontId="1" fillId="5" borderId="1" xfId="2" applyFont="1" applyFill="1" applyBorder="1"/>
    <xf numFmtId="0" fontId="1" fillId="0" borderId="10" xfId="0" applyFont="1" applyBorder="1"/>
    <xf numFmtId="0" fontId="3" fillId="0" borderId="17" xfId="0" applyFont="1" applyBorder="1" applyAlignment="1">
      <alignment horizontal="centerContinuous"/>
    </xf>
    <xf numFmtId="43" fontId="3" fillId="0" borderId="5" xfId="1" applyFont="1" applyBorder="1" applyAlignment="1">
      <alignment horizontal="centerContinuous"/>
    </xf>
    <xf numFmtId="43" fontId="3" fillId="0" borderId="18" xfId="1" applyFont="1" applyBorder="1" applyAlignment="1">
      <alignment horizontal="centerContinuous"/>
    </xf>
    <xf numFmtId="43" fontId="1" fillId="4" borderId="0" xfId="1" applyFont="1" applyFill="1" applyBorder="1"/>
    <xf numFmtId="43" fontId="1" fillId="0" borderId="0" xfId="1" applyFont="1" applyFill="1"/>
    <xf numFmtId="43" fontId="1" fillId="0" borderId="0" xfId="0" applyNumberFormat="1" applyFont="1"/>
    <xf numFmtId="0" fontId="1" fillId="0" borderId="0" xfId="0" applyFont="1" applyBorder="1"/>
    <xf numFmtId="43" fontId="1" fillId="0" borderId="15" xfId="1" applyFont="1" applyBorder="1"/>
    <xf numFmtId="43" fontId="3" fillId="0" borderId="8" xfId="1" applyFont="1" applyBorder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7" fontId="3" fillId="0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2" xfId="0" applyNumberFormat="1" applyBorder="1"/>
    <xf numFmtId="43" fontId="0" fillId="0" borderId="19" xfId="0" applyNumberFormat="1" applyBorder="1"/>
    <xf numFmtId="43" fontId="3" fillId="0" borderId="3" xfId="0" applyNumberFormat="1" applyFont="1" applyBorder="1"/>
    <xf numFmtId="0" fontId="3" fillId="0" borderId="6" xfId="0" applyFont="1" applyBorder="1" applyAlignment="1">
      <alignment horizontal="center"/>
    </xf>
    <xf numFmtId="43" fontId="0" fillId="0" borderId="2" xfId="1" applyFont="1" applyBorder="1"/>
    <xf numFmtId="43" fontId="0" fillId="0" borderId="19" xfId="1" applyFont="1" applyBorder="1"/>
    <xf numFmtId="43" fontId="0" fillId="0" borderId="3" xfId="1" applyFont="1" applyBorder="1"/>
    <xf numFmtId="43" fontId="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0" applyFont="1"/>
    <xf numFmtId="43" fontId="8" fillId="0" borderId="0" xfId="0" applyNumberFormat="1" applyFont="1"/>
    <xf numFmtId="10" fontId="8" fillId="0" borderId="0" xfId="3" applyNumberFormat="1" applyFont="1" applyAlignment="1">
      <alignment horizont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/>
    <xf numFmtId="43" fontId="8" fillId="0" borderId="0" xfId="1" applyFont="1" applyAlignment="1">
      <alignment horizontal="center"/>
    </xf>
    <xf numFmtId="43" fontId="8" fillId="0" borderId="2" xfId="0" applyNumberFormat="1" applyFont="1" applyBorder="1"/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9" fontId="8" fillId="0" borderId="0" xfId="3" applyFont="1" applyAlignment="1">
      <alignment horizontal="center"/>
    </xf>
    <xf numFmtId="43" fontId="8" fillId="0" borderId="19" xfId="0" applyNumberFormat="1" applyFont="1" applyBorder="1"/>
    <xf numFmtId="10" fontId="8" fillId="0" borderId="19" xfId="3" applyNumberFormat="1" applyFont="1" applyBorder="1" applyAlignment="1">
      <alignment horizontal="center"/>
    </xf>
    <xf numFmtId="10" fontId="8" fillId="0" borderId="0" xfId="1" applyNumberFormat="1" applyFont="1" applyAlignment="1">
      <alignment horizontal="center"/>
    </xf>
    <xf numFmtId="9" fontId="8" fillId="0" borderId="2" xfId="3" applyFont="1" applyBorder="1" applyAlignment="1">
      <alignment horizontal="center"/>
    </xf>
    <xf numFmtId="9" fontId="8" fillId="0" borderId="19" xfId="3" applyFont="1" applyBorder="1" applyAlignment="1">
      <alignment horizontal="center"/>
    </xf>
    <xf numFmtId="43" fontId="9" fillId="0" borderId="3" xfId="0" applyNumberFormat="1" applyFont="1" applyBorder="1"/>
    <xf numFmtId="43" fontId="9" fillId="0" borderId="5" xfId="0" applyNumberFormat="1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5" fontId="9" fillId="0" borderId="24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20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9" fillId="0" borderId="21" xfId="1" applyFont="1" applyBorder="1" applyAlignment="1">
      <alignment horizontal="center" vertical="center"/>
    </xf>
    <xf numFmtId="43" fontId="9" fillId="0" borderId="22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23" xfId="1" applyFont="1" applyBorder="1" applyAlignment="1">
      <alignment horizontal="center" vertical="center"/>
    </xf>
    <xf numFmtId="43" fontId="9" fillId="0" borderId="24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  <xf numFmtId="43" fontId="9" fillId="0" borderId="25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Pez%20Work\Published%20Financial%20Reports\Financial%20Statement%20Analysi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1%20January%202018/EOM%20Jan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2%20February%202018/EOM%20Feb%20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3%20March%202018/EOM%20March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04%20April%202018/EOM%20Apri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C30">
            <v>365257.53999999905</v>
          </cell>
          <cell r="D30">
            <v>21090.145499999966</v>
          </cell>
          <cell r="E30">
            <v>37097.844600000004</v>
          </cell>
          <cell r="F30">
            <v>3045</v>
          </cell>
          <cell r="G30">
            <v>885928.51408513961</v>
          </cell>
        </row>
        <row r="54">
          <cell r="B54">
            <v>301276.599516891</v>
          </cell>
          <cell r="C54">
            <v>314838.27600001462</v>
          </cell>
          <cell r="D54">
            <v>40496.840099999994</v>
          </cell>
          <cell r="E54">
            <v>14645.328399999986</v>
          </cell>
          <cell r="F54">
            <v>10671.25</v>
          </cell>
          <cell r="G54">
            <v>681928.29401690571</v>
          </cell>
        </row>
        <row r="80">
          <cell r="B80">
            <v>332184.39528701216</v>
          </cell>
          <cell r="C80">
            <v>311757.88299998752</v>
          </cell>
          <cell r="D80">
            <v>8782.1078999999936</v>
          </cell>
          <cell r="E80">
            <v>14892.187999999987</v>
          </cell>
          <cell r="F80">
            <v>6747.14</v>
          </cell>
          <cell r="G80">
            <v>674363.71418699983</v>
          </cell>
        </row>
        <row r="105">
          <cell r="G105">
            <v>655611.34502510389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">
          <cell r="B31">
            <v>281330.66382510529</v>
          </cell>
          <cell r="C31">
            <v>334099.27399999852</v>
          </cell>
          <cell r="D31">
            <v>17527.93</v>
          </cell>
          <cell r="E31">
            <v>16414.477200000103</v>
          </cell>
          <cell r="F31">
            <v>6239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  <row r="20">
          <cell r="B20">
            <v>31705.259999999995</v>
          </cell>
        </row>
        <row r="26">
          <cell r="B26">
            <v>0</v>
          </cell>
        </row>
      </sheetData>
      <sheetData sheetId="2">
        <row r="10">
          <cell r="B10">
            <v>23083.65</v>
          </cell>
        </row>
        <row r="20">
          <cell r="B20">
            <v>3212.99</v>
          </cell>
        </row>
        <row r="26">
          <cell r="B26">
            <v>9893.18</v>
          </cell>
        </row>
      </sheetData>
      <sheetData sheetId="3">
        <row r="10">
          <cell r="B10">
            <v>22978.059999999998</v>
          </cell>
        </row>
        <row r="20">
          <cell r="B20">
            <v>8036.34</v>
          </cell>
        </row>
        <row r="26">
          <cell r="B26">
            <v>59045.81</v>
          </cell>
        </row>
        <row r="31">
          <cell r="B31">
            <v>272.06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Compare to Hedge 2018"/>
      <sheetName val="P&amp;L Compare to Hedge 2017"/>
      <sheetName val="P&amp;L Compare to hedge 2016"/>
      <sheetName val="P&amp;L Compare to hedge 2015"/>
      <sheetName val="2017 Oct Analysis"/>
    </sheetNames>
    <sheetDataSet>
      <sheetData sheetId="0">
        <row r="5">
          <cell r="B5">
            <v>154563428.67000002</v>
          </cell>
          <cell r="C5">
            <v>109601727.78999999</v>
          </cell>
          <cell r="D5">
            <v>101069868.19</v>
          </cell>
          <cell r="E5">
            <v>92671539.059999987</v>
          </cell>
        </row>
        <row r="6">
          <cell r="B6">
            <v>424529753.21999997</v>
          </cell>
          <cell r="C6">
            <v>1212317398.3500001</v>
          </cell>
          <cell r="D6">
            <v>305312522.13</v>
          </cell>
          <cell r="E6">
            <v>46941731.32</v>
          </cell>
        </row>
        <row r="7">
          <cell r="B7">
            <v>2884704.37</v>
          </cell>
          <cell r="C7">
            <v>2596535.7200000002</v>
          </cell>
          <cell r="D7">
            <v>622399.88</v>
          </cell>
          <cell r="E7">
            <v>1945746.84</v>
          </cell>
        </row>
        <row r="8">
          <cell r="B8">
            <v>3238349</v>
          </cell>
          <cell r="C8">
            <v>1478660.42</v>
          </cell>
          <cell r="D8">
            <v>1427673</v>
          </cell>
          <cell r="E8">
            <v>2167697.4500000002</v>
          </cell>
        </row>
        <row r="9">
          <cell r="B9">
            <v>85825</v>
          </cell>
          <cell r="C9">
            <v>579872.5</v>
          </cell>
          <cell r="D9">
            <v>108078.75</v>
          </cell>
          <cell r="E9">
            <v>903549.14</v>
          </cell>
        </row>
        <row r="10">
          <cell r="E10">
            <v>292312.5</v>
          </cell>
        </row>
        <row r="14">
          <cell r="B14">
            <v>157842383.69</v>
          </cell>
          <cell r="C14">
            <v>108846154.46000001</v>
          </cell>
          <cell r="D14">
            <v>100906197.60999998</v>
          </cell>
          <cell r="E14">
            <v>92373678.780000001</v>
          </cell>
        </row>
        <row r="15">
          <cell r="B15">
            <v>422465521.94999993</v>
          </cell>
          <cell r="C15">
            <v>1215546261.6300001</v>
          </cell>
          <cell r="D15">
            <v>305678068.99000001</v>
          </cell>
          <cell r="E15">
            <v>48482029.219999999</v>
          </cell>
        </row>
        <row r="16">
          <cell r="B16">
            <v>2842624.1900000004</v>
          </cell>
          <cell r="C16">
            <v>2535222.7399999998</v>
          </cell>
          <cell r="D16">
            <v>618326.57000000007</v>
          </cell>
          <cell r="E16">
            <v>1945380.79</v>
          </cell>
        </row>
        <row r="17">
          <cell r="B17">
            <v>3972878.5</v>
          </cell>
          <cell r="C17">
            <v>1516251.86</v>
          </cell>
          <cell r="D17">
            <v>1446310.3</v>
          </cell>
          <cell r="E17">
            <v>2111524.9700000002</v>
          </cell>
        </row>
        <row r="18">
          <cell r="B18">
            <v>103200.43</v>
          </cell>
          <cell r="C18">
            <v>557565.63</v>
          </cell>
          <cell r="D18">
            <v>104546.19</v>
          </cell>
          <cell r="E18">
            <v>891459.31</v>
          </cell>
        </row>
        <row r="19">
          <cell r="E19">
            <v>180989.71000000002</v>
          </cell>
        </row>
        <row r="21">
          <cell r="B21">
            <v>-4303584.0399999917</v>
          </cell>
          <cell r="C21">
            <v>-230168.78000000119</v>
          </cell>
          <cell r="D21">
            <v>-102046.03999999166</v>
          </cell>
          <cell r="E21">
            <v>14781.879999995232</v>
          </cell>
        </row>
        <row r="22">
          <cell r="B22">
            <v>-198311.54999999702</v>
          </cell>
          <cell r="C22">
            <v>-141071.81000000052</v>
          </cell>
          <cell r="D22">
            <v>73914.890000000596</v>
          </cell>
          <cell r="E22">
            <v>442679.44999998808</v>
          </cell>
        </row>
        <row r="23">
          <cell r="B23">
            <v>-28077.910000000033</v>
          </cell>
          <cell r="C23">
            <v>-41342.620000000112</v>
          </cell>
          <cell r="D23">
            <v>-28127.939999999944</v>
          </cell>
          <cell r="E23">
            <v>1048.5499999999884</v>
          </cell>
        </row>
        <row r="24">
          <cell r="B24">
            <v>-17915.510000000009</v>
          </cell>
          <cell r="C24">
            <v>0</v>
          </cell>
          <cell r="D24">
            <v>-35497.39</v>
          </cell>
          <cell r="E24">
            <v>2061.8000000000466</v>
          </cell>
        </row>
        <row r="26">
          <cell r="B26">
            <v>-1451390.0700000077</v>
          </cell>
          <cell r="C26">
            <v>-14017.5</v>
          </cell>
          <cell r="D26">
            <v>-649600</v>
          </cell>
          <cell r="E26">
            <v>339010</v>
          </cell>
        </row>
        <row r="27">
          <cell r="B27">
            <v>287951.64999999851</v>
          </cell>
          <cell r="C27">
            <v>-4461877.3100000024</v>
          </cell>
          <cell r="D27">
            <v>67555.530000001192</v>
          </cell>
          <cell r="E27">
            <v>-3414426</v>
          </cell>
        </row>
        <row r="28">
          <cell r="B28">
            <v>0</v>
          </cell>
          <cell r="C28">
            <v>4535</v>
          </cell>
          <cell r="D28">
            <v>-3890</v>
          </cell>
          <cell r="E28">
            <v>-555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2">
          <cell r="D32">
            <v>5756.07</v>
          </cell>
          <cell r="E32">
            <v>9048.32</v>
          </cell>
        </row>
        <row r="45">
          <cell r="B45">
            <v>128859.70591497957</v>
          </cell>
          <cell r="C45">
            <v>179047.73598288454</v>
          </cell>
          <cell r="D45">
            <v>109403.45581293106</v>
          </cell>
          <cell r="E45">
            <v>-91176.724025141797</v>
          </cell>
          <cell r="N45">
            <v>326134.17368568387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Prepaid SO's"/>
      <sheetName val="FTO Table V Lookup"/>
      <sheetName val="Deferred Income"/>
      <sheetName val="Positive AR"/>
      <sheetName val="Premium Table by Item Code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2094840.4523199946</v>
          </cell>
        </row>
      </sheetData>
      <sheetData sheetId="14">
        <row r="28">
          <cell r="E28">
            <v>1671312.9767381023</v>
          </cell>
        </row>
      </sheetData>
      <sheetData sheetId="15">
        <row r="28">
          <cell r="E28">
            <v>53210.820259999891</v>
          </cell>
        </row>
      </sheetData>
      <sheetData sheetId="16">
        <row r="28">
          <cell r="E28">
            <v>-759397.27174999984</v>
          </cell>
        </row>
      </sheetData>
      <sheetData sheetId="17">
        <row r="28">
          <cell r="E28">
            <v>-20088.849999999991</v>
          </cell>
        </row>
      </sheetData>
      <sheetData sheetId="18">
        <row r="39">
          <cell r="E39">
            <v>3039878.1275680996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 Table by Item Code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607654.88740001619</v>
          </cell>
        </row>
      </sheetData>
      <sheetData sheetId="14">
        <row r="28">
          <cell r="E28">
            <v>1036939.8168504873</v>
          </cell>
        </row>
      </sheetData>
      <sheetData sheetId="15">
        <row r="28">
          <cell r="E28">
            <v>54597.568599999649</v>
          </cell>
        </row>
      </sheetData>
      <sheetData sheetId="16">
        <row r="28">
          <cell r="E28">
            <v>-56319.259040000208</v>
          </cell>
        </row>
      </sheetData>
      <sheetData sheetId="17">
        <row r="28">
          <cell r="E28">
            <v>8290.3699999999953</v>
          </cell>
        </row>
      </sheetData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SO's"/>
      <sheetName val="Prepaid Inventory"/>
      <sheetName val="FTOs for Vlookup"/>
      <sheetName val="Premiums for Vlookup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567828.19951001555</v>
          </cell>
        </row>
      </sheetData>
      <sheetData sheetId="14">
        <row r="28">
          <cell r="E28">
            <v>-931711.66054889513</v>
          </cell>
        </row>
      </sheetData>
      <sheetData sheetId="15">
        <row r="28">
          <cell r="E28">
            <v>-2899.6698899999028</v>
          </cell>
        </row>
      </sheetData>
      <sheetData sheetId="16">
        <row r="28">
          <cell r="E28">
            <v>-27321.270960000053</v>
          </cell>
        </row>
      </sheetData>
      <sheetData sheetId="17">
        <row r="28">
          <cell r="E28">
            <v>-19993.190000000017</v>
          </cell>
        </row>
      </sheetData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In-House"/>
      <sheetName val="Inventory Approved Locations"/>
      <sheetName val="Inventory Non-Appr. Locations"/>
      <sheetName val="Inventory Segregated"/>
      <sheetName val="Inventory All"/>
      <sheetName val="Consignment"/>
      <sheetName val="Consignment Sovereign"/>
      <sheetName val="Prepaid Inventory"/>
      <sheetName val="FTOs for Vlookup"/>
      <sheetName val="Premiums for Vlookup"/>
      <sheetName val="Prepaid SO's"/>
      <sheetName val="Deferred Income"/>
      <sheetName val="Positive AR"/>
      <sheetName val="Mrkg to Mkt Gold"/>
      <sheetName val="Mkg to Mkt Silver"/>
      <sheetName val="Mkg to Mkt Platinum  "/>
      <sheetName val="Mkg to Mkt Palladium"/>
      <sheetName val="Mkg to Mkt Rhodium"/>
      <sheetName val="Mkg to Mkt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8">
          <cell r="E28">
            <v>-212199.27639002353</v>
          </cell>
        </row>
      </sheetData>
      <sheetData sheetId="14">
        <row r="28">
          <cell r="E28">
            <v>1133883.7106935014</v>
          </cell>
        </row>
      </sheetData>
      <sheetData sheetId="15">
        <row r="28">
          <cell r="E28">
            <v>-17872.84760000027</v>
          </cell>
        </row>
      </sheetData>
      <sheetData sheetId="16">
        <row r="28">
          <cell r="E28">
            <v>35879.561575000058</v>
          </cell>
        </row>
      </sheetData>
      <sheetData sheetId="17">
        <row r="28">
          <cell r="E28">
            <v>24746.690000000002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4046F-F1B3-45D6-AF67-B631ED47CCDD}">
  <dimension ref="A1:G109"/>
  <sheetViews>
    <sheetView tabSelected="1" zoomScaleNormal="100" workbookViewId="0">
      <pane ySplit="6" topLeftCell="A70" activePane="bottomLeft" state="frozen"/>
      <selection pane="bottomLeft" activeCell="B115" sqref="B115"/>
    </sheetView>
  </sheetViews>
  <sheetFormatPr defaultRowHeight="15" x14ac:dyDescent="0.25"/>
  <cols>
    <col min="1" max="1" width="39.7109375" bestFit="1" customWidth="1"/>
    <col min="2" max="7" width="18.7109375" customWidth="1"/>
  </cols>
  <sheetData>
    <row r="1" spans="1:7" x14ac:dyDescent="0.25">
      <c r="A1" s="158" t="s">
        <v>371</v>
      </c>
      <c r="B1" s="158"/>
      <c r="C1" s="158"/>
      <c r="D1" s="158"/>
      <c r="E1" s="158"/>
      <c r="F1" s="158"/>
      <c r="G1" s="158"/>
    </row>
    <row r="2" spans="1:7" x14ac:dyDescent="0.25">
      <c r="A2" s="158" t="s">
        <v>370</v>
      </c>
      <c r="B2" s="158"/>
      <c r="C2" s="158"/>
      <c r="D2" s="158"/>
      <c r="E2" s="158"/>
      <c r="F2" s="158"/>
      <c r="G2" s="158"/>
    </row>
    <row r="3" spans="1:7" x14ac:dyDescent="0.25">
      <c r="A3" s="158" t="s">
        <v>301</v>
      </c>
      <c r="B3" s="158"/>
      <c r="C3" s="158"/>
      <c r="D3" s="158"/>
      <c r="E3" s="158"/>
      <c r="F3" s="158"/>
      <c r="G3" s="158"/>
    </row>
    <row r="4" spans="1:7" x14ac:dyDescent="0.25">
      <c r="A4" s="159" t="s">
        <v>363</v>
      </c>
      <c r="B4" s="159"/>
      <c r="C4" s="159"/>
      <c r="D4" s="159"/>
      <c r="E4" s="159"/>
      <c r="F4" s="159"/>
      <c r="G4" s="159"/>
    </row>
    <row r="6" spans="1:7" x14ac:dyDescent="0.25">
      <c r="B6" s="129" t="s">
        <v>244</v>
      </c>
      <c r="C6" s="129" t="s">
        <v>246</v>
      </c>
      <c r="D6" s="129" t="s">
        <v>245</v>
      </c>
      <c r="E6" s="129" t="s">
        <v>247</v>
      </c>
      <c r="F6" s="129" t="s">
        <v>248</v>
      </c>
      <c r="G6" s="129" t="s">
        <v>218</v>
      </c>
    </row>
    <row r="7" spans="1:7" x14ac:dyDescent="0.25">
      <c r="A7" s="68" t="s">
        <v>63</v>
      </c>
    </row>
    <row r="8" spans="1:7" x14ac:dyDescent="0.25">
      <c r="A8" t="s">
        <v>249</v>
      </c>
      <c r="B8" s="125">
        <f>'CNT (from FS Analysis)'!N102+'CNT (from FS Analysis)'!N113</f>
        <v>457906563.70999998</v>
      </c>
      <c r="C8" s="125">
        <f>BPM!F8+BPM!F13</f>
        <v>18678310.079999998</v>
      </c>
      <c r="D8" s="125">
        <v>0</v>
      </c>
      <c r="E8" s="125">
        <v>0</v>
      </c>
      <c r="F8" s="125">
        <v>0</v>
      </c>
      <c r="G8" s="125">
        <f>SUM(B8:F8)</f>
        <v>476584873.78999996</v>
      </c>
    </row>
    <row r="9" spans="1:7" x14ac:dyDescent="0.25">
      <c r="A9" t="s">
        <v>250</v>
      </c>
      <c r="B9" s="125">
        <f>'CNT (from FS Analysis)'!N103+'CNT (from FS Analysis)'!N114</f>
        <v>1989101405.02</v>
      </c>
      <c r="C9" s="125">
        <f>BPM!F9</f>
        <v>1457024.99</v>
      </c>
      <c r="D9" s="125">
        <v>0</v>
      </c>
      <c r="E9" s="125">
        <v>0</v>
      </c>
      <c r="F9" s="125">
        <v>0</v>
      </c>
      <c r="G9" s="125">
        <f t="shared" ref="G9:G82" si="0">SUM(B9:F9)</f>
        <v>1990558430.01</v>
      </c>
    </row>
    <row r="10" spans="1:7" x14ac:dyDescent="0.25">
      <c r="A10" t="s">
        <v>251</v>
      </c>
      <c r="B10" s="125">
        <f>'CNT (from FS Analysis)'!N104+'CNT (from FS Analysis)'!N115</f>
        <v>8049386.8099999996</v>
      </c>
      <c r="C10" s="125">
        <f>BPM!F10</f>
        <v>160252.07</v>
      </c>
      <c r="D10" s="125">
        <v>0</v>
      </c>
      <c r="E10" s="125">
        <v>0</v>
      </c>
      <c r="F10" s="125">
        <v>0</v>
      </c>
      <c r="G10" s="125">
        <f t="shared" si="0"/>
        <v>8209638.8799999999</v>
      </c>
    </row>
    <row r="11" spans="1:7" x14ac:dyDescent="0.25">
      <c r="A11" t="s">
        <v>252</v>
      </c>
      <c r="B11" s="125">
        <f>'CNT (from FS Analysis)'!N105+'CNT (from FS Analysis)'!N116</f>
        <v>8312379.8700000001</v>
      </c>
      <c r="C11" s="125">
        <v>0</v>
      </c>
      <c r="D11" s="125">
        <v>0</v>
      </c>
      <c r="E11" s="125">
        <v>0</v>
      </c>
      <c r="F11" s="125">
        <v>0</v>
      </c>
      <c r="G11" s="125">
        <f t="shared" si="0"/>
        <v>8312379.8700000001</v>
      </c>
    </row>
    <row r="12" spans="1:7" x14ac:dyDescent="0.25">
      <c r="A12" t="s">
        <v>253</v>
      </c>
      <c r="B12" s="125">
        <f>'CNT (from FS Analysis)'!N109+'CNT (from FS Analysis)'!N119</f>
        <v>1677325.3900000001</v>
      </c>
      <c r="C12" s="125">
        <f>0</f>
        <v>0</v>
      </c>
      <c r="D12" s="125">
        <v>0</v>
      </c>
      <c r="E12" s="125">
        <v>0</v>
      </c>
      <c r="F12" s="125">
        <v>0</v>
      </c>
      <c r="G12" s="125">
        <f t="shared" si="0"/>
        <v>1677325.3900000001</v>
      </c>
    </row>
    <row r="13" spans="1:7" x14ac:dyDescent="0.25">
      <c r="A13" t="s">
        <v>254</v>
      </c>
      <c r="B13" s="125">
        <f>'CNT (from FS Analysis)'!N120+'CNT (from FS Analysis)'!N121</f>
        <v>292312.5</v>
      </c>
      <c r="C13" s="125">
        <v>0</v>
      </c>
      <c r="D13" s="125">
        <v>0</v>
      </c>
      <c r="E13" s="125">
        <v>0</v>
      </c>
      <c r="F13" s="125">
        <v>0</v>
      </c>
      <c r="G13" s="125">
        <f t="shared" si="0"/>
        <v>292312.5</v>
      </c>
    </row>
    <row r="14" spans="1:7" x14ac:dyDescent="0.25">
      <c r="A14" t="s">
        <v>255</v>
      </c>
      <c r="B14" s="125">
        <f>'CNT (from FS Analysis)'!N107+'CNT (from FS Analysis)'!N108+'CNT (from FS Analysis)'!N110+'CNT (from FS Analysis)'!N111+'CNT (from FS Analysis)'!N112</f>
        <v>366487.15</v>
      </c>
      <c r="C14" s="125">
        <f>BPM!F11+BPM!F12</f>
        <v>893636</v>
      </c>
      <c r="D14" s="125">
        <f>DEP!F15</f>
        <v>636176.05000000005</v>
      </c>
      <c r="E14" s="125">
        <v>0</v>
      </c>
      <c r="F14" s="125">
        <f>'BSC (Dome)'!G14</f>
        <v>476923.20000000007</v>
      </c>
      <c r="G14" s="125">
        <f t="shared" si="0"/>
        <v>2373222.3999999999</v>
      </c>
    </row>
    <row r="15" spans="1:7" x14ac:dyDescent="0.25">
      <c r="A15" s="68" t="s">
        <v>256</v>
      </c>
      <c r="B15" s="126">
        <f>SUM(B8:B14)</f>
        <v>2465705860.4499998</v>
      </c>
      <c r="C15" s="126">
        <f t="shared" ref="C15:F15" si="1">SUM(C8:C14)</f>
        <v>21189223.139999997</v>
      </c>
      <c r="D15" s="126">
        <f t="shared" si="1"/>
        <v>636176.05000000005</v>
      </c>
      <c r="E15" s="126">
        <f t="shared" si="1"/>
        <v>0</v>
      </c>
      <c r="F15" s="126">
        <f t="shared" si="1"/>
        <v>476923.20000000007</v>
      </c>
      <c r="G15" s="126">
        <f t="shared" si="0"/>
        <v>2488008182.8399997</v>
      </c>
    </row>
    <row r="16" spans="1:7" x14ac:dyDescent="0.25">
      <c r="B16" s="125"/>
      <c r="C16" s="125"/>
      <c r="D16" s="125"/>
      <c r="E16" s="125"/>
      <c r="F16" s="125"/>
      <c r="G16" s="125">
        <f t="shared" si="0"/>
        <v>0</v>
      </c>
    </row>
    <row r="17" spans="1:7" x14ac:dyDescent="0.25">
      <c r="A17" s="68" t="s">
        <v>219</v>
      </c>
      <c r="B17" s="125"/>
      <c r="C17" s="125"/>
      <c r="D17" s="125"/>
      <c r="E17" s="125"/>
      <c r="F17" s="125"/>
      <c r="G17" s="125">
        <f t="shared" si="0"/>
        <v>0</v>
      </c>
    </row>
    <row r="18" spans="1:7" x14ac:dyDescent="0.25">
      <c r="A18" t="s">
        <v>249</v>
      </c>
      <c r="B18" s="125">
        <f>'CNT (from FS Analysis)'!N126+'CNT (from FS Analysis)'!N138+'CNT (from FS Analysis)'!N143+'CNT (from FS Analysis)'!N142+'CNT (from FS Analysis)'!N147+'CNT (from FS Analysis)'!N151+'CNT (from FS Analysis)'!N157</f>
        <v>453571399.99000001</v>
      </c>
      <c r="C18" s="125">
        <f>BPM!F17+BPM!F23</f>
        <v>18622059.400000002</v>
      </c>
      <c r="D18" s="125">
        <v>0</v>
      </c>
      <c r="E18" s="125">
        <v>0</v>
      </c>
      <c r="F18" s="125">
        <v>0</v>
      </c>
      <c r="G18" s="125">
        <f t="shared" si="0"/>
        <v>472193459.38999999</v>
      </c>
    </row>
    <row r="19" spans="1:7" x14ac:dyDescent="0.25">
      <c r="A19" t="s">
        <v>250</v>
      </c>
      <c r="B19" s="125">
        <f>'CNT (from FS Analysis)'!N127+'CNT (from FS Analysis)'!N139+'CNT (from FS Analysis)'!N144+'CNT (from FS Analysis)'!N148+'CNT (from FS Analysis)'!N152+'CNT (from FS Analysis)'!N155+'CNT (from FS Analysis)'!N158</f>
        <v>1984828296.6400001</v>
      </c>
      <c r="C19" s="125">
        <f>BPM!F18+BPM!F24</f>
        <v>1383524.6400000001</v>
      </c>
      <c r="D19" s="125">
        <v>0</v>
      </c>
      <c r="E19" s="125">
        <v>0</v>
      </c>
      <c r="F19" s="125">
        <v>0</v>
      </c>
      <c r="G19" s="125">
        <f t="shared" si="0"/>
        <v>1986211821.2800002</v>
      </c>
    </row>
    <row r="20" spans="1:7" x14ac:dyDescent="0.25">
      <c r="A20" t="s">
        <v>251</v>
      </c>
      <c r="B20" s="125">
        <f>'CNT (from FS Analysis)'!N128+'CNT (from FS Analysis)'!N140+'CNT (from FS Analysis)'!N145+'CNT (from FS Analysis)'!N149+'CNT (from FS Analysis)'!N153+'CNT (from FS Analysis)'!N156+'CNT (from FS Analysis)'!N159</f>
        <v>7845144.3699999992</v>
      </c>
      <c r="C20" s="125">
        <f>BPM!F19</f>
        <v>152239.9</v>
      </c>
      <c r="D20" s="125">
        <v>0</v>
      </c>
      <c r="E20" s="125">
        <v>0</v>
      </c>
      <c r="F20" s="125">
        <v>0</v>
      </c>
      <c r="G20" s="125">
        <f t="shared" si="0"/>
        <v>7997384.2699999996</v>
      </c>
    </row>
    <row r="21" spans="1:7" x14ac:dyDescent="0.25">
      <c r="A21" t="s">
        <v>252</v>
      </c>
      <c r="B21" s="125">
        <f>'CNT (from FS Analysis)'!N129+'CNT (from FS Analysis)'!N150+'CNT (from FS Analysis)'!N154+'CNT (from FS Analysis)'!N160+'CNT (from FS Analysis)'!N161</f>
        <v>8995614.5300000012</v>
      </c>
      <c r="C21" s="125">
        <f>0</f>
        <v>0</v>
      </c>
      <c r="D21" s="125">
        <v>0</v>
      </c>
      <c r="E21" s="125">
        <v>0</v>
      </c>
      <c r="F21" s="125">
        <v>0</v>
      </c>
      <c r="G21" s="125">
        <f t="shared" si="0"/>
        <v>8995614.5300000012</v>
      </c>
    </row>
    <row r="22" spans="1:7" x14ac:dyDescent="0.25">
      <c r="A22" t="s">
        <v>253</v>
      </c>
      <c r="B22" s="125">
        <f>'CNT (from FS Analysis)'!N132</f>
        <v>1635001.56</v>
      </c>
      <c r="C22" s="125">
        <f>0</f>
        <v>0</v>
      </c>
      <c r="D22" s="125">
        <v>0</v>
      </c>
      <c r="E22" s="125">
        <v>0</v>
      </c>
      <c r="F22" s="125">
        <v>0</v>
      </c>
      <c r="G22" s="125">
        <f t="shared" si="0"/>
        <v>1635001.56</v>
      </c>
    </row>
    <row r="23" spans="1:7" x14ac:dyDescent="0.25">
      <c r="A23" t="s">
        <v>254</v>
      </c>
      <c r="B23" s="125">
        <f>'CNT (from FS Analysis)'!N177+'CNT (from FS Analysis)'!N178</f>
        <v>180989.71000000002</v>
      </c>
      <c r="C23" s="125">
        <f>0</f>
        <v>0</v>
      </c>
      <c r="D23" s="125">
        <v>0</v>
      </c>
      <c r="E23" s="125">
        <v>0</v>
      </c>
      <c r="F23" s="125">
        <v>0</v>
      </c>
      <c r="G23" s="125">
        <f t="shared" si="0"/>
        <v>180989.71000000002</v>
      </c>
    </row>
    <row r="24" spans="1:7" x14ac:dyDescent="0.25">
      <c r="A24" t="s">
        <v>255</v>
      </c>
      <c r="B24" s="125">
        <f>'CNT (from FS Analysis)'!N124+'CNT (from FS Analysis)'!N131+'CNT (from FS Analysis)'!N133+'CNT (from FS Analysis)'!N134+'CNT (from FS Analysis)'!N136+'CNT (from FS Analysis)'!N137+'CNT (from FS Analysis)'!N162+'CNT (from FS Analysis)'!N163+'CNT (from FS Analysis)'!N164+'CNT (from FS Analysis)'!N166+'CNT (from FS Analysis)'!N167+'CNT (from FS Analysis)'!N168+'CNT (from FS Analysis)'!N169+'CNT (from FS Analysis)'!N170+'CNT (from FS Analysis)'!N171+'CNT (from FS Analysis)'!N172+'CNT (from FS Analysis)'!N173+'CNT (from FS Analysis)'!N174+'CNT (from FS Analysis)'!N175+'CNT (from FS Analysis)'!N176+'CNT (from FS Analysis)'!N165</f>
        <v>6079856.2799999993</v>
      </c>
      <c r="C24" s="125">
        <f>BPM!F20+BPM!F21+BPM!F22+BPM!F25+BPM!F26</f>
        <v>744508.17</v>
      </c>
      <c r="D24" s="125">
        <f>DEP!F20</f>
        <v>105645.4</v>
      </c>
      <c r="E24" s="125">
        <v>0</v>
      </c>
      <c r="F24" s="125">
        <f>'BSC (Dome)'!G17</f>
        <v>1068.5899999999999</v>
      </c>
      <c r="G24" s="125">
        <f t="shared" si="0"/>
        <v>6931078.4399999995</v>
      </c>
    </row>
    <row r="25" spans="1:7" x14ac:dyDescent="0.25">
      <c r="A25" s="68" t="s">
        <v>257</v>
      </c>
      <c r="B25" s="126">
        <f>SUM(B18:B24)</f>
        <v>2463136303.0800004</v>
      </c>
      <c r="C25" s="126">
        <f t="shared" ref="C25:F25" si="2">SUM(C18:C24)</f>
        <v>20902332.110000003</v>
      </c>
      <c r="D25" s="126">
        <f t="shared" si="2"/>
        <v>105645.4</v>
      </c>
      <c r="E25" s="126">
        <f t="shared" si="2"/>
        <v>0</v>
      </c>
      <c r="F25" s="126">
        <f t="shared" si="2"/>
        <v>1068.5899999999999</v>
      </c>
      <c r="G25" s="126">
        <f t="shared" si="0"/>
        <v>2484145349.1800008</v>
      </c>
    </row>
    <row r="26" spans="1:7" x14ac:dyDescent="0.25">
      <c r="B26" s="125"/>
      <c r="C26" s="125"/>
      <c r="D26" s="125"/>
      <c r="E26" s="125"/>
      <c r="F26" s="125"/>
      <c r="G26" s="125">
        <f t="shared" si="0"/>
        <v>0</v>
      </c>
    </row>
    <row r="27" spans="1:7" ht="15.75" thickBot="1" x14ac:dyDescent="0.3">
      <c r="A27" s="68" t="s">
        <v>243</v>
      </c>
      <c r="B27" s="127">
        <f>B15-B25</f>
        <v>2569557.3699994087</v>
      </c>
      <c r="C27" s="127">
        <f t="shared" ref="C27:F27" si="3">C15-C25</f>
        <v>286891.02999999374</v>
      </c>
      <c r="D27" s="127">
        <f t="shared" si="3"/>
        <v>530530.65</v>
      </c>
      <c r="E27" s="127">
        <f t="shared" si="3"/>
        <v>0</v>
      </c>
      <c r="F27" s="127">
        <f t="shared" si="3"/>
        <v>475854.61000000004</v>
      </c>
      <c r="G27" s="127">
        <f t="shared" si="0"/>
        <v>3862833.6599994022</v>
      </c>
    </row>
    <row r="28" spans="1:7" x14ac:dyDescent="0.25">
      <c r="B28" s="125"/>
      <c r="C28" s="125"/>
      <c r="D28" s="125"/>
      <c r="E28" s="125"/>
      <c r="F28" s="125"/>
      <c r="G28" s="125">
        <f t="shared" si="0"/>
        <v>0</v>
      </c>
    </row>
    <row r="29" spans="1:7" x14ac:dyDescent="0.25">
      <c r="A29" s="68" t="s">
        <v>241</v>
      </c>
      <c r="B29" s="125"/>
      <c r="C29" s="125"/>
      <c r="D29" s="125"/>
      <c r="E29" s="125"/>
      <c r="F29" s="125"/>
      <c r="G29" s="125">
        <f t="shared" si="0"/>
        <v>0</v>
      </c>
    </row>
    <row r="30" spans="1:7" x14ac:dyDescent="0.25">
      <c r="B30" s="125"/>
      <c r="C30" s="125"/>
      <c r="D30" s="125"/>
      <c r="E30" s="125"/>
      <c r="F30" s="125"/>
      <c r="G30" s="125">
        <f t="shared" si="0"/>
        <v>0</v>
      </c>
    </row>
    <row r="31" spans="1:7" x14ac:dyDescent="0.25">
      <c r="A31" s="68" t="s">
        <v>258</v>
      </c>
      <c r="B31" s="125"/>
      <c r="C31" s="125"/>
      <c r="D31" s="125"/>
      <c r="E31" s="125"/>
      <c r="F31" s="125"/>
      <c r="G31" s="125">
        <f t="shared" si="0"/>
        <v>0</v>
      </c>
    </row>
    <row r="32" spans="1:7" x14ac:dyDescent="0.25">
      <c r="A32" t="s">
        <v>259</v>
      </c>
      <c r="B32" s="125">
        <f>'CNT (from FS Analysis)'!N182</f>
        <v>1158359.6400000001</v>
      </c>
      <c r="C32" s="125">
        <v>0</v>
      </c>
      <c r="D32" s="125">
        <f>DEP!F26</f>
        <v>33364.75</v>
      </c>
      <c r="E32" s="125">
        <v>0</v>
      </c>
      <c r="F32" s="125">
        <f>'BSC (Dome)'!G24+'BSC (Dome)'!G31</f>
        <v>132613.82</v>
      </c>
      <c r="G32" s="125">
        <f t="shared" si="0"/>
        <v>1324338.2100000002</v>
      </c>
    </row>
    <row r="33" spans="1:7" x14ac:dyDescent="0.25">
      <c r="A33" t="s">
        <v>260</v>
      </c>
      <c r="B33" s="125">
        <f>'CNT (from FS Analysis)'!N184</f>
        <v>12264</v>
      </c>
      <c r="C33" s="125">
        <v>0</v>
      </c>
      <c r="D33" s="125">
        <v>0</v>
      </c>
      <c r="E33" s="125">
        <v>0</v>
      </c>
      <c r="F33" s="125">
        <v>0</v>
      </c>
      <c r="G33" s="125">
        <f t="shared" si="0"/>
        <v>12264</v>
      </c>
    </row>
    <row r="34" spans="1:7" x14ac:dyDescent="0.25">
      <c r="A34" t="s">
        <v>261</v>
      </c>
      <c r="B34" s="125">
        <f>'CNT (from FS Analysis)'!N185</f>
        <v>112268.95999999999</v>
      </c>
      <c r="C34" s="125">
        <v>0</v>
      </c>
      <c r="D34" s="125">
        <f>DEP!F27</f>
        <v>4707.05</v>
      </c>
      <c r="E34" s="125">
        <v>0</v>
      </c>
      <c r="F34" s="125">
        <f>'BSC (Dome)'!G25</f>
        <v>8556.15</v>
      </c>
      <c r="G34" s="125">
        <f t="shared" si="0"/>
        <v>125532.15999999999</v>
      </c>
    </row>
    <row r="35" spans="1:7" x14ac:dyDescent="0.25">
      <c r="A35" t="s">
        <v>262</v>
      </c>
      <c r="B35" s="125">
        <f>'CNT (from FS Analysis)'!N186</f>
        <v>100649.5</v>
      </c>
      <c r="C35" s="125">
        <v>0</v>
      </c>
      <c r="D35" s="125">
        <f>DEP!F28</f>
        <v>12774.59</v>
      </c>
      <c r="E35" s="125">
        <v>0</v>
      </c>
      <c r="F35" s="125">
        <f>'BSC (Dome)'!G26</f>
        <v>20914.45</v>
      </c>
      <c r="G35" s="125">
        <f t="shared" si="0"/>
        <v>134338.54</v>
      </c>
    </row>
    <row r="36" spans="1:7" x14ac:dyDescent="0.25">
      <c r="A36" t="s">
        <v>263</v>
      </c>
      <c r="B36" s="125">
        <f>'CNT (from FS Analysis)'!N187</f>
        <v>15820.61</v>
      </c>
      <c r="C36" s="125">
        <v>0</v>
      </c>
      <c r="D36" s="125">
        <f>DEP!F29</f>
        <v>867.92</v>
      </c>
      <c r="E36" s="125">
        <v>0</v>
      </c>
      <c r="F36" s="125">
        <f>'BSC (Dome)'!G27</f>
        <v>1088.3700000000001</v>
      </c>
      <c r="G36" s="125">
        <f t="shared" si="0"/>
        <v>17776.899999999998</v>
      </c>
    </row>
    <row r="37" spans="1:7" x14ac:dyDescent="0.25">
      <c r="A37" t="s">
        <v>264</v>
      </c>
      <c r="B37" s="125">
        <f>'CNT (from FS Analysis)'!N188</f>
        <v>36668</v>
      </c>
      <c r="C37" s="125">
        <v>0</v>
      </c>
      <c r="D37" s="125">
        <f>DEP!F30</f>
        <v>1600</v>
      </c>
      <c r="E37" s="125">
        <v>0</v>
      </c>
      <c r="F37" s="125">
        <f>'BSC (Dome)'!G29</f>
        <v>1800</v>
      </c>
      <c r="G37" s="125">
        <f t="shared" si="0"/>
        <v>40068</v>
      </c>
    </row>
    <row r="38" spans="1:7" x14ac:dyDescent="0.25">
      <c r="A38" t="s">
        <v>346</v>
      </c>
      <c r="B38" s="125">
        <f>'CNT (from FS Analysis)'!N190+'CNT (from FS Analysis)'!N189</f>
        <v>5488.02</v>
      </c>
      <c r="C38" s="125">
        <v>0</v>
      </c>
      <c r="D38" s="125">
        <f>DEP!F31</f>
        <v>614.91999999999996</v>
      </c>
      <c r="E38" s="125">
        <v>0</v>
      </c>
      <c r="F38" s="125">
        <f>'BSC (Dome)'!G28</f>
        <v>524.81999999999994</v>
      </c>
      <c r="G38" s="125">
        <f t="shared" si="0"/>
        <v>6627.76</v>
      </c>
    </row>
    <row r="39" spans="1:7" x14ac:dyDescent="0.25">
      <c r="A39" t="s">
        <v>265</v>
      </c>
      <c r="B39" s="125">
        <f>'CNT (from FS Analysis)'!N191+'CNT (from FS Analysis)'!N192</f>
        <v>3109.48</v>
      </c>
      <c r="C39" s="125">
        <v>0</v>
      </c>
      <c r="D39" s="125">
        <v>0</v>
      </c>
      <c r="E39" s="125">
        <v>0</v>
      </c>
      <c r="F39" s="125">
        <v>0</v>
      </c>
      <c r="G39" s="125">
        <f t="shared" si="0"/>
        <v>3109.48</v>
      </c>
    </row>
    <row r="40" spans="1:7" x14ac:dyDescent="0.25">
      <c r="A40" t="s">
        <v>281</v>
      </c>
      <c r="B40" s="125">
        <f>'CNT (from FS Analysis)'!N214</f>
        <v>20648.72</v>
      </c>
      <c r="C40" s="125">
        <v>0</v>
      </c>
      <c r="D40" s="125">
        <v>0</v>
      </c>
      <c r="E40" s="125">
        <v>0</v>
      </c>
      <c r="F40" s="125">
        <v>0</v>
      </c>
      <c r="G40" s="125">
        <f t="shared" si="0"/>
        <v>20648.72</v>
      </c>
    </row>
    <row r="41" spans="1:7" x14ac:dyDescent="0.25">
      <c r="A41" s="68" t="s">
        <v>266</v>
      </c>
      <c r="B41" s="126">
        <f>SUM(B32:B40)</f>
        <v>1465276.9300000002</v>
      </c>
      <c r="C41" s="126">
        <f>SUM(C32:C40)</f>
        <v>0</v>
      </c>
      <c r="D41" s="126">
        <f>SUM(D32:D40)</f>
        <v>53929.229999999996</v>
      </c>
      <c r="E41" s="126">
        <f>SUM(E32:E40)</f>
        <v>0</v>
      </c>
      <c r="F41" s="126">
        <f>SUM(F32:F40)</f>
        <v>165497.61000000002</v>
      </c>
      <c r="G41" s="126">
        <f t="shared" si="0"/>
        <v>1684703.7700000003</v>
      </c>
    </row>
    <row r="42" spans="1:7" x14ac:dyDescent="0.25">
      <c r="B42" s="125"/>
      <c r="C42" s="125"/>
      <c r="D42" s="125"/>
      <c r="E42" s="125"/>
      <c r="F42" s="125"/>
      <c r="G42" s="125">
        <f t="shared" si="0"/>
        <v>0</v>
      </c>
    </row>
    <row r="43" spans="1:7" x14ac:dyDescent="0.25">
      <c r="A43" s="68" t="s">
        <v>267</v>
      </c>
      <c r="B43" s="125"/>
      <c r="C43" s="125"/>
      <c r="D43" s="125"/>
      <c r="E43" s="125"/>
      <c r="F43" s="125"/>
      <c r="G43" s="125">
        <f t="shared" si="0"/>
        <v>0</v>
      </c>
    </row>
    <row r="44" spans="1:7" x14ac:dyDescent="0.25">
      <c r="A44" t="s">
        <v>268</v>
      </c>
      <c r="B44" s="125">
        <f>'CNT (from FS Analysis)'!N195+'CNT (from FS Analysis)'!N196</f>
        <v>136800</v>
      </c>
      <c r="C44" s="125">
        <v>0</v>
      </c>
      <c r="D44" s="125">
        <f>DEP!F35</f>
        <v>150000</v>
      </c>
      <c r="E44" s="125">
        <v>0</v>
      </c>
      <c r="F44" s="125">
        <f>'BSC (Dome)'!G35</f>
        <v>4000</v>
      </c>
      <c r="G44" s="125">
        <f t="shared" si="0"/>
        <v>290800</v>
      </c>
    </row>
    <row r="45" spans="1:7" x14ac:dyDescent="0.25">
      <c r="A45" t="s">
        <v>269</v>
      </c>
      <c r="B45" s="125">
        <f>'CNT (from FS Analysis)'!N197</f>
        <v>21521.18</v>
      </c>
      <c r="C45" s="125">
        <v>0</v>
      </c>
      <c r="D45" s="125">
        <f>DEP!F36</f>
        <v>27578.75</v>
      </c>
      <c r="E45" s="125">
        <v>0</v>
      </c>
      <c r="F45" s="125">
        <f>'BSC (Dome)'!G37</f>
        <v>3287.5</v>
      </c>
      <c r="G45" s="125">
        <f t="shared" si="0"/>
        <v>52387.43</v>
      </c>
    </row>
    <row r="46" spans="1:7" x14ac:dyDescent="0.25">
      <c r="A46" t="s">
        <v>270</v>
      </c>
      <c r="B46" s="125">
        <f>'CNT (from FS Analysis)'!N198</f>
        <v>7919.7999999999993</v>
      </c>
      <c r="C46" s="125">
        <v>0</v>
      </c>
      <c r="D46" s="125">
        <v>0</v>
      </c>
      <c r="E46" s="125">
        <v>0</v>
      </c>
      <c r="F46" s="125">
        <f>'BSC (Dome)'!G36</f>
        <v>54615.08</v>
      </c>
      <c r="G46" s="125">
        <f t="shared" si="0"/>
        <v>62534.880000000005</v>
      </c>
    </row>
    <row r="47" spans="1:7" x14ac:dyDescent="0.25">
      <c r="A47" t="s">
        <v>423</v>
      </c>
      <c r="B47" s="125">
        <v>0</v>
      </c>
      <c r="C47" s="125">
        <v>0</v>
      </c>
      <c r="D47" s="125">
        <v>0</v>
      </c>
      <c r="E47" s="125">
        <v>0</v>
      </c>
      <c r="F47" s="125">
        <f>'BSC (Dome)'!G38</f>
        <v>233.88</v>
      </c>
      <c r="G47" s="125">
        <f t="shared" si="0"/>
        <v>233.88</v>
      </c>
    </row>
    <row r="48" spans="1:7" x14ac:dyDescent="0.25">
      <c r="A48" t="s">
        <v>329</v>
      </c>
      <c r="B48" s="125">
        <v>0</v>
      </c>
      <c r="C48" s="125">
        <v>0</v>
      </c>
      <c r="D48" s="125">
        <f>DEP!F37</f>
        <v>600</v>
      </c>
      <c r="E48" s="125">
        <v>0</v>
      </c>
      <c r="F48" s="125">
        <f>'BSC (Dome)'!G39</f>
        <v>2379.04</v>
      </c>
      <c r="G48" s="125">
        <f t="shared" si="0"/>
        <v>2979.04</v>
      </c>
    </row>
    <row r="49" spans="1:7" x14ac:dyDescent="0.25">
      <c r="A49" t="s">
        <v>271</v>
      </c>
      <c r="B49" s="125">
        <f>'CNT (from FS Analysis)'!N200</f>
        <v>14225</v>
      </c>
      <c r="C49" s="125">
        <v>0</v>
      </c>
      <c r="D49" s="125">
        <f>DEP!F38</f>
        <v>6660</v>
      </c>
      <c r="E49" s="125">
        <v>0</v>
      </c>
      <c r="F49" s="125">
        <f>'BSC (Dome)'!G40</f>
        <v>0</v>
      </c>
      <c r="G49" s="125">
        <f t="shared" si="0"/>
        <v>20885</v>
      </c>
    </row>
    <row r="50" spans="1:7" x14ac:dyDescent="0.25">
      <c r="A50" t="s">
        <v>424</v>
      </c>
      <c r="B50" s="125">
        <f>'CNT (from FS Analysis)'!N201+'CNT (from FS Analysis)'!N209</f>
        <v>39209.15</v>
      </c>
      <c r="C50" s="125">
        <f>BPM!F33</f>
        <v>1511.66</v>
      </c>
      <c r="D50" s="125">
        <f>DEP!F39</f>
        <v>5719.7199999999993</v>
      </c>
      <c r="E50" s="125">
        <v>0</v>
      </c>
      <c r="F50" s="125">
        <f>'BSC (Dome)'!G41</f>
        <v>2381.98</v>
      </c>
      <c r="G50" s="125">
        <f t="shared" si="0"/>
        <v>48822.510000000009</v>
      </c>
    </row>
    <row r="51" spans="1:7" x14ac:dyDescent="0.25">
      <c r="A51" t="s">
        <v>421</v>
      </c>
      <c r="B51" s="125">
        <v>0</v>
      </c>
      <c r="C51" s="125">
        <v>0</v>
      </c>
      <c r="D51" s="125">
        <v>0</v>
      </c>
      <c r="E51" s="125">
        <v>0</v>
      </c>
      <c r="F51" s="125">
        <f>'BSC (Dome)'!G42+'BSC (Dome)'!G48</f>
        <v>3170.75</v>
      </c>
      <c r="G51" s="125">
        <f t="shared" si="0"/>
        <v>3170.75</v>
      </c>
    </row>
    <row r="52" spans="1:7" x14ac:dyDescent="0.25">
      <c r="A52" t="s">
        <v>274</v>
      </c>
      <c r="B52" s="125">
        <f>'CNT (from FS Analysis)'!N202</f>
        <v>34706.070000000007</v>
      </c>
      <c r="C52" s="125">
        <v>0</v>
      </c>
      <c r="D52" s="125">
        <f>DEP!F40</f>
        <v>21576.720000000001</v>
      </c>
      <c r="E52" s="125">
        <v>0</v>
      </c>
      <c r="F52" s="125">
        <f>'BSC (Dome)'!G44</f>
        <v>233.66</v>
      </c>
      <c r="G52" s="125">
        <f t="shared" si="0"/>
        <v>56516.450000000012</v>
      </c>
    </row>
    <row r="53" spans="1:7" x14ac:dyDescent="0.25">
      <c r="A53" t="s">
        <v>275</v>
      </c>
      <c r="B53" s="125">
        <f>'CNT (from FS Analysis)'!N203</f>
        <v>12400</v>
      </c>
      <c r="C53" s="125">
        <v>0</v>
      </c>
      <c r="D53" s="125">
        <f>DEP!F41</f>
        <v>8315.16</v>
      </c>
      <c r="E53" s="125">
        <v>0</v>
      </c>
      <c r="F53" s="125">
        <v>0</v>
      </c>
      <c r="G53" s="125">
        <f t="shared" si="0"/>
        <v>20715.16</v>
      </c>
    </row>
    <row r="54" spans="1:7" x14ac:dyDescent="0.25">
      <c r="A54" t="s">
        <v>273</v>
      </c>
      <c r="B54" s="125">
        <f>'CNT (from FS Analysis)'!N204</f>
        <v>20461.190000000002</v>
      </c>
      <c r="C54" s="125">
        <v>0</v>
      </c>
      <c r="D54" s="125">
        <f>DEP!F42</f>
        <v>72083.329999999987</v>
      </c>
      <c r="E54" s="125">
        <v>0</v>
      </c>
      <c r="F54" s="125">
        <f>'BSC (Dome)'!G46</f>
        <v>9696</v>
      </c>
      <c r="G54" s="125">
        <f t="shared" si="0"/>
        <v>102240.51999999999</v>
      </c>
    </row>
    <row r="55" spans="1:7" x14ac:dyDescent="0.25">
      <c r="A55" t="s">
        <v>402</v>
      </c>
      <c r="B55" s="125">
        <v>0</v>
      </c>
      <c r="C55" s="125">
        <v>0</v>
      </c>
      <c r="D55" s="125">
        <v>0</v>
      </c>
      <c r="E55" s="125">
        <v>0</v>
      </c>
      <c r="F55" s="125">
        <f>'BSC (Dome)'!G47</f>
        <v>565</v>
      </c>
      <c r="G55" s="125">
        <f t="shared" si="0"/>
        <v>565</v>
      </c>
    </row>
    <row r="56" spans="1:7" x14ac:dyDescent="0.25">
      <c r="A56" t="s">
        <v>405</v>
      </c>
      <c r="B56" s="125">
        <v>0</v>
      </c>
      <c r="C56" s="125">
        <v>0</v>
      </c>
      <c r="D56" s="125">
        <v>0</v>
      </c>
      <c r="E56" s="125">
        <v>0</v>
      </c>
      <c r="F56" s="125">
        <f>'BSC (Dome)'!G43</f>
        <v>8529.01</v>
      </c>
      <c r="G56" s="125">
        <f t="shared" si="0"/>
        <v>8529.01</v>
      </c>
    </row>
    <row r="57" spans="1:7" x14ac:dyDescent="0.25">
      <c r="A57" t="s">
        <v>276</v>
      </c>
      <c r="B57" s="125">
        <f>'CNT (from FS Analysis)'!N205</f>
        <v>6534.29</v>
      </c>
      <c r="C57" s="125">
        <v>0</v>
      </c>
      <c r="D57" s="125">
        <f>DEP!F43</f>
        <v>106.3</v>
      </c>
      <c r="E57" s="125">
        <v>0</v>
      </c>
      <c r="F57" s="125">
        <f>'BSC (Dome)'!G49</f>
        <v>1417.5100000000002</v>
      </c>
      <c r="G57" s="125">
        <f t="shared" si="0"/>
        <v>8058.1</v>
      </c>
    </row>
    <row r="58" spans="1:7" x14ac:dyDescent="0.25">
      <c r="A58" t="s">
        <v>277</v>
      </c>
      <c r="B58" s="125">
        <f>'CNT (from FS Analysis)'!N206</f>
        <v>1802.9800000000002</v>
      </c>
      <c r="C58" s="125">
        <v>0</v>
      </c>
      <c r="D58" s="125">
        <f>DEP!F45</f>
        <v>1625.84</v>
      </c>
      <c r="E58" s="125">
        <v>0</v>
      </c>
      <c r="F58" s="125">
        <f>0</f>
        <v>0</v>
      </c>
      <c r="G58" s="125">
        <f t="shared" si="0"/>
        <v>3428.82</v>
      </c>
    </row>
    <row r="59" spans="1:7" x14ac:dyDescent="0.25">
      <c r="A59" t="s">
        <v>278</v>
      </c>
      <c r="B59" s="125">
        <f>'CNT (from FS Analysis)'!N207</f>
        <v>1333.32</v>
      </c>
      <c r="C59" s="125">
        <v>0</v>
      </c>
      <c r="D59" s="125">
        <v>0</v>
      </c>
      <c r="E59" s="125">
        <v>0</v>
      </c>
      <c r="F59" s="125">
        <v>0</v>
      </c>
      <c r="G59" s="125">
        <f t="shared" si="0"/>
        <v>1333.32</v>
      </c>
    </row>
    <row r="60" spans="1:7" x14ac:dyDescent="0.25">
      <c r="A60" t="s">
        <v>279</v>
      </c>
      <c r="B60" s="125">
        <f>'CNT (from FS Analysis)'!N208</f>
        <v>472195.85</v>
      </c>
      <c r="C60" s="125">
        <f>BPM!F34</f>
        <v>1397.29</v>
      </c>
      <c r="D60" s="125">
        <f>DEP!F46</f>
        <v>41137.15</v>
      </c>
      <c r="E60" s="125">
        <v>0</v>
      </c>
      <c r="F60" s="125">
        <f>'BSC (Dome)'!G52</f>
        <v>37528.76</v>
      </c>
      <c r="G60" s="125">
        <f t="shared" si="0"/>
        <v>552259.04999999993</v>
      </c>
    </row>
    <row r="61" spans="1:7" x14ac:dyDescent="0.25">
      <c r="A61" t="s">
        <v>290</v>
      </c>
      <c r="B61" s="125">
        <f>'CNT (from FS Analysis)'!N225</f>
        <v>976.74</v>
      </c>
      <c r="C61" s="125">
        <v>0</v>
      </c>
      <c r="D61" s="125">
        <v>0</v>
      </c>
      <c r="E61" s="125">
        <v>0</v>
      </c>
      <c r="F61" s="125">
        <v>0</v>
      </c>
      <c r="G61" s="125">
        <f t="shared" si="0"/>
        <v>976.74</v>
      </c>
    </row>
    <row r="62" spans="1:7" x14ac:dyDescent="0.25">
      <c r="A62" t="s">
        <v>282</v>
      </c>
      <c r="B62" s="125">
        <f>'CNT (from FS Analysis)'!N224</f>
        <v>4745.5599999999995</v>
      </c>
      <c r="C62" s="125">
        <v>0</v>
      </c>
      <c r="D62" s="125">
        <f>DEP!F47</f>
        <v>7166.5199999999995</v>
      </c>
      <c r="E62" s="125">
        <v>0</v>
      </c>
      <c r="F62" s="125">
        <f>'BSC (Dome)'!G53</f>
        <v>0</v>
      </c>
      <c r="G62" s="125">
        <f t="shared" si="0"/>
        <v>11912.079999999998</v>
      </c>
    </row>
    <row r="63" spans="1:7" x14ac:dyDescent="0.25">
      <c r="A63" t="s">
        <v>283</v>
      </c>
      <c r="B63" s="125">
        <f>'CNT (from FS Analysis)'!N228+'CNT (from FS Analysis)'!N210</f>
        <v>61192</v>
      </c>
      <c r="C63" s="125">
        <v>0</v>
      </c>
      <c r="D63" s="125">
        <f>DEP!F44</f>
        <v>29289.87</v>
      </c>
      <c r="E63" s="125">
        <v>0</v>
      </c>
      <c r="F63" s="125">
        <f>0</f>
        <v>0</v>
      </c>
      <c r="G63" s="125">
        <f t="shared" si="0"/>
        <v>90481.87</v>
      </c>
    </row>
    <row r="64" spans="1:7" x14ac:dyDescent="0.25">
      <c r="A64" t="s">
        <v>415</v>
      </c>
      <c r="B64" s="125">
        <v>0</v>
      </c>
      <c r="C64" s="125">
        <v>0</v>
      </c>
      <c r="D64" s="125">
        <v>0</v>
      </c>
      <c r="E64" s="125">
        <v>0</v>
      </c>
      <c r="F64" s="125">
        <f>'BSC (Dome)'!G54</f>
        <v>2372.79</v>
      </c>
      <c r="G64" s="125">
        <f t="shared" si="0"/>
        <v>2372.79</v>
      </c>
    </row>
    <row r="65" spans="1:7" x14ac:dyDescent="0.25">
      <c r="A65" t="s">
        <v>416</v>
      </c>
      <c r="B65" s="125">
        <f>'CNT (from FS Analysis)'!N233</f>
        <v>5935.79</v>
      </c>
      <c r="C65" s="125">
        <f>BPM!F42</f>
        <v>1345.66</v>
      </c>
      <c r="D65" s="125">
        <f>DEP!F48</f>
        <v>4103.87</v>
      </c>
      <c r="E65" s="125">
        <v>0</v>
      </c>
      <c r="F65" s="125">
        <f>'BSC (Dome)'!G55</f>
        <v>2862.1</v>
      </c>
      <c r="G65" s="125">
        <f t="shared" si="0"/>
        <v>14247.42</v>
      </c>
    </row>
    <row r="66" spans="1:7" x14ac:dyDescent="0.25">
      <c r="A66" s="68" t="s">
        <v>284</v>
      </c>
      <c r="B66" s="126">
        <f>SUM(B44:B65)</f>
        <v>841958.91999999993</v>
      </c>
      <c r="C66" s="126">
        <f t="shared" ref="C66:F66" si="4">SUM(C44:C65)</f>
        <v>4254.6099999999997</v>
      </c>
      <c r="D66" s="126">
        <f t="shared" si="4"/>
        <v>375963.23000000004</v>
      </c>
      <c r="E66" s="126">
        <f t="shared" si="4"/>
        <v>0</v>
      </c>
      <c r="F66" s="126">
        <f t="shared" si="4"/>
        <v>133273.05999999997</v>
      </c>
      <c r="G66" s="126">
        <f t="shared" si="0"/>
        <v>1355449.82</v>
      </c>
    </row>
    <row r="67" spans="1:7" x14ac:dyDescent="0.25">
      <c r="B67" s="125"/>
      <c r="C67" s="125"/>
      <c r="D67" s="125"/>
      <c r="E67" s="125"/>
      <c r="F67" s="125"/>
      <c r="G67" s="125">
        <f t="shared" si="0"/>
        <v>0</v>
      </c>
    </row>
    <row r="68" spans="1:7" x14ac:dyDescent="0.25">
      <c r="A68" s="68" t="s">
        <v>285</v>
      </c>
      <c r="B68" s="125"/>
      <c r="C68" s="125"/>
      <c r="D68" s="125"/>
      <c r="E68" s="125"/>
      <c r="F68" s="125"/>
      <c r="G68" s="125">
        <f t="shared" si="0"/>
        <v>0</v>
      </c>
    </row>
    <row r="69" spans="1:7" x14ac:dyDescent="0.25">
      <c r="A69" t="s">
        <v>286</v>
      </c>
      <c r="B69" s="125">
        <f>'CNT (from FS Analysis)'!N215</f>
        <v>3809.88</v>
      </c>
      <c r="C69" s="125">
        <v>0</v>
      </c>
      <c r="D69" s="125">
        <f>DEP!F52</f>
        <v>700.99</v>
      </c>
      <c r="E69" s="125">
        <v>0</v>
      </c>
      <c r="F69" s="125">
        <f>'BSC (Dome)'!G59</f>
        <v>1747.74</v>
      </c>
      <c r="G69" s="125">
        <f t="shared" si="0"/>
        <v>6258.61</v>
      </c>
    </row>
    <row r="70" spans="1:7" x14ac:dyDescent="0.25">
      <c r="A70" t="s">
        <v>287</v>
      </c>
      <c r="B70" s="125">
        <f>'CNT (from FS Analysis)'!N216</f>
        <v>45349.2</v>
      </c>
      <c r="C70" s="125">
        <f>BPM!F38</f>
        <v>2695.7799999999997</v>
      </c>
      <c r="D70" s="125">
        <f>DEP!F53</f>
        <v>2874.1800000000003</v>
      </c>
      <c r="E70" s="125">
        <f>Lending!F9</f>
        <v>875.43</v>
      </c>
      <c r="F70" s="125">
        <f>'BSC (Dome)'!G60</f>
        <v>2051.52</v>
      </c>
      <c r="G70" s="125">
        <f t="shared" si="0"/>
        <v>53846.109999999993</v>
      </c>
    </row>
    <row r="71" spans="1:7" x14ac:dyDescent="0.25">
      <c r="A71" t="s">
        <v>409</v>
      </c>
      <c r="B71" s="125">
        <v>0</v>
      </c>
      <c r="C71" s="125">
        <v>0</v>
      </c>
      <c r="D71" s="125">
        <v>0</v>
      </c>
      <c r="E71" s="125">
        <v>0</v>
      </c>
      <c r="F71" s="125">
        <f>'BSC (Dome)'!G61</f>
        <v>2073.2600000000002</v>
      </c>
      <c r="G71" s="125"/>
    </row>
    <row r="72" spans="1:7" x14ac:dyDescent="0.25">
      <c r="A72" t="s">
        <v>288</v>
      </c>
      <c r="B72" s="125">
        <f>'CNT (from FS Analysis)'!N218</f>
        <v>3556.43</v>
      </c>
      <c r="C72" s="125">
        <v>0</v>
      </c>
      <c r="D72" s="125">
        <v>0</v>
      </c>
      <c r="E72" s="125">
        <f>Lending!F10</f>
        <v>109</v>
      </c>
      <c r="F72" s="125">
        <f>'BSC (Dome)'!G65</f>
        <v>975.56000000000006</v>
      </c>
      <c r="G72" s="125">
        <f t="shared" si="0"/>
        <v>4640.99</v>
      </c>
    </row>
    <row r="73" spans="1:7" x14ac:dyDescent="0.25">
      <c r="A73" t="s">
        <v>406</v>
      </c>
      <c r="B73" s="125">
        <f>'CNT (from FS Analysis)'!N219</f>
        <v>182031.43000000002</v>
      </c>
      <c r="C73" s="125">
        <f>BPM!F39</f>
        <v>27198.97</v>
      </c>
      <c r="D73" s="125">
        <f>DEP!F56</f>
        <v>32315.68</v>
      </c>
      <c r="E73" s="125">
        <v>0</v>
      </c>
      <c r="F73" s="125">
        <f>'BSC (Dome)'!G66</f>
        <v>2200</v>
      </c>
      <c r="G73" s="125">
        <f t="shared" si="0"/>
        <v>243746.08000000002</v>
      </c>
    </row>
    <row r="74" spans="1:7" x14ac:dyDescent="0.25">
      <c r="A74" t="s">
        <v>407</v>
      </c>
      <c r="B74" s="125">
        <v>0</v>
      </c>
      <c r="C74" s="125">
        <v>0</v>
      </c>
      <c r="D74" s="125">
        <v>0</v>
      </c>
      <c r="E74" s="125">
        <v>0</v>
      </c>
      <c r="F74" s="125">
        <f>'BSC (Dome)'!G67</f>
        <v>6000</v>
      </c>
      <c r="G74" s="125">
        <f t="shared" ref="G74:G75" si="5">SUM(B74:F74)</f>
        <v>6000</v>
      </c>
    </row>
    <row r="75" spans="1:7" x14ac:dyDescent="0.25">
      <c r="A75" t="s">
        <v>408</v>
      </c>
      <c r="B75" s="125">
        <v>0</v>
      </c>
      <c r="C75" s="125">
        <v>0</v>
      </c>
      <c r="D75" s="125">
        <v>0</v>
      </c>
      <c r="E75" s="125">
        <v>0</v>
      </c>
      <c r="F75" s="125">
        <v>0</v>
      </c>
      <c r="G75" s="125">
        <f t="shared" si="5"/>
        <v>0</v>
      </c>
    </row>
    <row r="76" spans="1:7" x14ac:dyDescent="0.25">
      <c r="A76" t="s">
        <v>291</v>
      </c>
      <c r="B76" s="125">
        <f>'CNT (from FS Analysis)'!N222</f>
        <v>3888.88</v>
      </c>
      <c r="C76" s="125">
        <f>BPM!F40</f>
        <v>820.8</v>
      </c>
      <c r="D76" s="125">
        <f>DEP!F55</f>
        <v>1250</v>
      </c>
      <c r="E76" s="125">
        <v>0</v>
      </c>
      <c r="F76" s="125">
        <f>'BSC (Dome)'!G63</f>
        <v>664.05</v>
      </c>
      <c r="G76" s="125">
        <f t="shared" si="0"/>
        <v>6623.7300000000005</v>
      </c>
    </row>
    <row r="77" spans="1:7" x14ac:dyDescent="0.25">
      <c r="A77" t="s">
        <v>292</v>
      </c>
      <c r="B77" s="125">
        <f>'CNT (from FS Analysis)'!N226</f>
        <v>15321.1</v>
      </c>
      <c r="C77" s="125">
        <f>BPM!F41</f>
        <v>587.5</v>
      </c>
      <c r="D77" s="125">
        <f>DEP!F57</f>
        <v>577.5</v>
      </c>
      <c r="E77" s="125">
        <v>0</v>
      </c>
      <c r="F77" s="125"/>
      <c r="G77" s="125">
        <f t="shared" si="0"/>
        <v>16486.099999999999</v>
      </c>
    </row>
    <row r="78" spans="1:7" x14ac:dyDescent="0.25">
      <c r="A78" t="s">
        <v>293</v>
      </c>
      <c r="B78" s="125">
        <f>'CNT (from FS Analysis)'!N227</f>
        <v>10932.88</v>
      </c>
      <c r="C78" s="125">
        <f>0</f>
        <v>0</v>
      </c>
      <c r="D78" s="125">
        <v>0</v>
      </c>
      <c r="E78" s="125">
        <v>0</v>
      </c>
      <c r="F78" s="125"/>
      <c r="G78" s="125">
        <f t="shared" si="0"/>
        <v>10932.88</v>
      </c>
    </row>
    <row r="79" spans="1:7" x14ac:dyDescent="0.25">
      <c r="A79" t="s">
        <v>333</v>
      </c>
      <c r="B79" s="125">
        <v>0</v>
      </c>
      <c r="C79" s="125">
        <f>0</f>
        <v>0</v>
      </c>
      <c r="D79" s="125">
        <f>DEP!F54</f>
        <v>300</v>
      </c>
      <c r="E79" s="125">
        <v>0</v>
      </c>
      <c r="F79" s="125">
        <f>'BSC (Dome)'!G62</f>
        <v>750</v>
      </c>
      <c r="G79" s="125">
        <f t="shared" si="0"/>
        <v>1050</v>
      </c>
    </row>
    <row r="80" spans="1:7" x14ac:dyDescent="0.25">
      <c r="A80" t="s">
        <v>425</v>
      </c>
      <c r="B80" s="125">
        <v>0</v>
      </c>
      <c r="C80" s="125">
        <v>0</v>
      </c>
      <c r="D80" s="125">
        <v>0</v>
      </c>
      <c r="E80" s="125">
        <v>0</v>
      </c>
      <c r="F80" s="125">
        <f>'BSC (Dome)'!G64</f>
        <v>10329.9</v>
      </c>
      <c r="G80" s="125">
        <f t="shared" si="0"/>
        <v>10329.9</v>
      </c>
    </row>
    <row r="81" spans="1:7" x14ac:dyDescent="0.25">
      <c r="A81" t="s">
        <v>294</v>
      </c>
      <c r="B81" s="125">
        <f>'CNT (from FS Analysis)'!N229</f>
        <v>10853.32</v>
      </c>
      <c r="C81" s="125">
        <f>0</f>
        <v>0</v>
      </c>
      <c r="D81" s="125">
        <f>0</f>
        <v>0</v>
      </c>
      <c r="E81" s="125">
        <v>0</v>
      </c>
      <c r="F81" s="125">
        <v>0</v>
      </c>
      <c r="G81" s="125">
        <f t="shared" si="0"/>
        <v>10853.32</v>
      </c>
    </row>
    <row r="82" spans="1:7" x14ac:dyDescent="0.25">
      <c r="A82" t="s">
        <v>295</v>
      </c>
      <c r="B82" s="125">
        <f>'CNT (from FS Analysis)'!N230</f>
        <v>12307.45</v>
      </c>
      <c r="C82" s="125">
        <v>0</v>
      </c>
      <c r="D82" s="125">
        <v>0</v>
      </c>
      <c r="E82" s="125">
        <v>0</v>
      </c>
      <c r="F82" s="125">
        <v>0</v>
      </c>
      <c r="G82" s="125">
        <f t="shared" si="0"/>
        <v>12307.45</v>
      </c>
    </row>
    <row r="83" spans="1:7" x14ac:dyDescent="0.25">
      <c r="A83" t="s">
        <v>296</v>
      </c>
      <c r="B83" s="125">
        <f>'CNT (from FS Analysis)'!N231</f>
        <v>1714.28</v>
      </c>
      <c r="C83" s="125">
        <v>0</v>
      </c>
      <c r="D83" s="125">
        <v>0</v>
      </c>
      <c r="E83" s="125">
        <v>0</v>
      </c>
      <c r="F83" s="125">
        <v>0</v>
      </c>
      <c r="G83" s="125">
        <f t="shared" ref="G83:G87" si="6">SUM(B83:F83)</f>
        <v>1714.28</v>
      </c>
    </row>
    <row r="84" spans="1:7" x14ac:dyDescent="0.25">
      <c r="A84" t="s">
        <v>297</v>
      </c>
      <c r="B84" s="125">
        <f>'CNT (from FS Analysis)'!N232</f>
        <v>7379.82</v>
      </c>
      <c r="C84" s="125">
        <v>0</v>
      </c>
      <c r="D84" s="125">
        <v>0</v>
      </c>
      <c r="E84" s="125">
        <v>0</v>
      </c>
      <c r="F84" s="125">
        <v>0</v>
      </c>
      <c r="G84" s="125">
        <f t="shared" si="6"/>
        <v>7379.82</v>
      </c>
    </row>
    <row r="85" spans="1:7" x14ac:dyDescent="0.25">
      <c r="A85" s="68" t="s">
        <v>299</v>
      </c>
      <c r="B85" s="126">
        <f>SUM(B69:B84)</f>
        <v>297144.67000000004</v>
      </c>
      <c r="C85" s="126">
        <f t="shared" ref="C85:F85" si="7">SUM(C69:C84)</f>
        <v>31303.05</v>
      </c>
      <c r="D85" s="126">
        <f t="shared" si="7"/>
        <v>38018.35</v>
      </c>
      <c r="E85" s="126">
        <f t="shared" si="7"/>
        <v>984.43</v>
      </c>
      <c r="F85" s="126">
        <f t="shared" si="7"/>
        <v>26792.03</v>
      </c>
      <c r="G85" s="126">
        <f t="shared" si="6"/>
        <v>394242.53</v>
      </c>
    </row>
    <row r="86" spans="1:7" x14ac:dyDescent="0.25">
      <c r="B86" s="125"/>
      <c r="C86" s="125"/>
      <c r="D86" s="125"/>
      <c r="E86" s="125"/>
      <c r="F86" s="125"/>
      <c r="G86" s="125">
        <f t="shared" si="6"/>
        <v>0</v>
      </c>
    </row>
    <row r="87" spans="1:7" ht="15.75" thickBot="1" x14ac:dyDescent="0.3">
      <c r="A87" s="68" t="s">
        <v>300</v>
      </c>
      <c r="B87" s="127">
        <f>B41+B66+B85</f>
        <v>2604380.52</v>
      </c>
      <c r="C87" s="127">
        <f t="shared" ref="C87:F87" si="8">C41+C66+C85</f>
        <v>35557.659999999996</v>
      </c>
      <c r="D87" s="127">
        <f t="shared" si="8"/>
        <v>467910.81</v>
      </c>
      <c r="E87" s="127">
        <f t="shared" si="8"/>
        <v>984.43</v>
      </c>
      <c r="F87" s="127">
        <f t="shared" si="8"/>
        <v>325562.69999999995</v>
      </c>
      <c r="G87" s="127">
        <f t="shared" si="6"/>
        <v>3434396.12</v>
      </c>
    </row>
    <row r="88" spans="1:7" x14ac:dyDescent="0.25">
      <c r="B88" s="125"/>
      <c r="C88" s="125"/>
      <c r="D88" s="125"/>
      <c r="E88" s="125"/>
      <c r="F88" s="125"/>
      <c r="G88" s="125"/>
    </row>
    <row r="89" spans="1:7" x14ac:dyDescent="0.25">
      <c r="A89" s="68" t="s">
        <v>310</v>
      </c>
      <c r="B89" s="125"/>
      <c r="C89" s="125"/>
      <c r="D89" s="125"/>
      <c r="E89" s="125"/>
      <c r="F89" s="125"/>
      <c r="G89" s="125"/>
    </row>
    <row r="90" spans="1:7" x14ac:dyDescent="0.25">
      <c r="A90" s="71" t="s">
        <v>303</v>
      </c>
      <c r="B90" s="125">
        <f>'CNT (from FS Analysis)'!N237</f>
        <v>50000</v>
      </c>
      <c r="C90" s="125">
        <v>0</v>
      </c>
      <c r="D90" s="125">
        <f>DEP!F63</f>
        <v>50000</v>
      </c>
      <c r="E90" s="125">
        <v>0</v>
      </c>
      <c r="F90" s="125">
        <f>'BSC (Dome)'!G75+'BSC (Dome)'!G76</f>
        <v>24000</v>
      </c>
      <c r="G90" s="125">
        <f>SUM(B90:F90)</f>
        <v>124000</v>
      </c>
    </row>
    <row r="91" spans="1:7" x14ac:dyDescent="0.25">
      <c r="A91" s="71" t="s">
        <v>304</v>
      </c>
      <c r="B91" s="125">
        <f>'CNT (from FS Analysis)'!N238</f>
        <v>137583.75</v>
      </c>
      <c r="C91" s="125">
        <v>0</v>
      </c>
      <c r="D91" s="125">
        <v>0</v>
      </c>
      <c r="E91" s="125">
        <v>0</v>
      </c>
      <c r="F91" s="125">
        <v>0</v>
      </c>
      <c r="G91" s="125">
        <f t="shared" ref="G91:G99" si="9">SUM(B91:F91)</f>
        <v>137583.75</v>
      </c>
    </row>
    <row r="92" spans="1:7" x14ac:dyDescent="0.25">
      <c r="A92" s="71" t="s">
        <v>367</v>
      </c>
      <c r="B92" s="125">
        <v>0</v>
      </c>
      <c r="C92" s="125">
        <f>-BPM!F46</f>
        <v>-137583.75</v>
      </c>
      <c r="D92" s="125">
        <v>0</v>
      </c>
      <c r="E92" s="125">
        <v>0</v>
      </c>
      <c r="F92" s="125">
        <v>0</v>
      </c>
      <c r="G92" s="125"/>
    </row>
    <row r="93" spans="1:7" x14ac:dyDescent="0.25">
      <c r="A93" s="71" t="s">
        <v>305</v>
      </c>
      <c r="B93" s="125">
        <f>'CNT (from FS Analysis)'!N239</f>
        <v>41987.5</v>
      </c>
      <c r="C93" s="125">
        <v>0</v>
      </c>
      <c r="D93" s="125">
        <v>0</v>
      </c>
      <c r="E93" s="125">
        <v>0</v>
      </c>
      <c r="F93" s="125">
        <v>0</v>
      </c>
      <c r="G93" s="125">
        <f t="shared" si="9"/>
        <v>41987.5</v>
      </c>
    </row>
    <row r="94" spans="1:7" x14ac:dyDescent="0.25">
      <c r="A94" s="71" t="s">
        <v>306</v>
      </c>
      <c r="B94" s="125">
        <f>'CNT (from FS Analysis)'!N240</f>
        <v>100537.82</v>
      </c>
      <c r="C94" s="125">
        <f>-BPM!F47</f>
        <v>219.74</v>
      </c>
      <c r="D94" s="125">
        <f>DEP!F64</f>
        <v>10035.49</v>
      </c>
      <c r="E94" s="125">
        <f>Lending!F14</f>
        <v>12363.16</v>
      </c>
      <c r="F94" s="125">
        <v>0</v>
      </c>
      <c r="G94" s="125">
        <f t="shared" si="9"/>
        <v>123156.21000000002</v>
      </c>
    </row>
    <row r="95" spans="1:7" x14ac:dyDescent="0.25">
      <c r="A95" s="71" t="s">
        <v>307</v>
      </c>
      <c r="B95" s="125">
        <f>'CNT (from FS Analysis)'!N241</f>
        <v>-51594.239999999998</v>
      </c>
      <c r="C95" s="125">
        <v>0</v>
      </c>
      <c r="D95" s="125">
        <v>0</v>
      </c>
      <c r="E95" s="125">
        <f>Lending!F15</f>
        <v>-2491.39</v>
      </c>
      <c r="F95" s="125">
        <f>'BSC (Dome)'!G78+'BSC (Dome)'!G79</f>
        <v>-38892.720000000001</v>
      </c>
      <c r="G95" s="125">
        <f t="shared" si="9"/>
        <v>-92978.35</v>
      </c>
    </row>
    <row r="96" spans="1:7" x14ac:dyDescent="0.25">
      <c r="A96" s="71" t="s">
        <v>308</v>
      </c>
      <c r="B96" s="125">
        <f>'CNT (from FS Analysis)'!N242</f>
        <v>0.1</v>
      </c>
      <c r="C96" s="125">
        <v>0</v>
      </c>
      <c r="D96" s="125">
        <v>0</v>
      </c>
      <c r="E96" s="125"/>
      <c r="F96" s="125">
        <f>'BSC (Dome)'!G77</f>
        <v>1833.08</v>
      </c>
      <c r="G96" s="125">
        <f t="shared" si="9"/>
        <v>1833.1799999999998</v>
      </c>
    </row>
    <row r="97" spans="1:7" x14ac:dyDescent="0.25">
      <c r="A97" s="68" t="s">
        <v>309</v>
      </c>
      <c r="B97" s="126">
        <f>SUM(B90:B96)</f>
        <v>278514.93</v>
      </c>
      <c r="C97" s="126">
        <f>SUM(C90:C96)</f>
        <v>-137364.01</v>
      </c>
      <c r="D97" s="126">
        <f>SUM(D90:D96)</f>
        <v>60035.49</v>
      </c>
      <c r="E97" s="126">
        <f>SUM(E90:E96)</f>
        <v>9871.77</v>
      </c>
      <c r="F97" s="126">
        <f>SUM(F90:F96)</f>
        <v>-13059.640000000001</v>
      </c>
      <c r="G97" s="126">
        <f t="shared" si="9"/>
        <v>197998.53999999995</v>
      </c>
    </row>
    <row r="98" spans="1:7" x14ac:dyDescent="0.25">
      <c r="A98" s="68"/>
      <c r="B98" s="125"/>
      <c r="C98" s="125"/>
      <c r="D98" s="125"/>
      <c r="E98" s="125"/>
      <c r="F98" s="125"/>
      <c r="G98" s="125">
        <f t="shared" si="9"/>
        <v>0</v>
      </c>
    </row>
    <row r="99" spans="1:7" ht="15.75" thickBot="1" x14ac:dyDescent="0.3">
      <c r="A99" s="68" t="s">
        <v>302</v>
      </c>
      <c r="B99" s="128">
        <f>B27-B87+B97</f>
        <v>243691.7799994087</v>
      </c>
      <c r="C99" s="128">
        <f>C27-C87+C97</f>
        <v>113969.35999999373</v>
      </c>
      <c r="D99" s="128">
        <f>D27-D87+D97</f>
        <v>122655.33000000002</v>
      </c>
      <c r="E99" s="128">
        <f>E27-E87+E97</f>
        <v>8887.34</v>
      </c>
      <c r="F99" s="128">
        <f>F27-F87+F97</f>
        <v>137232.27000000008</v>
      </c>
      <c r="G99" s="128">
        <f t="shared" si="9"/>
        <v>626436.07999940263</v>
      </c>
    </row>
    <row r="100" spans="1:7" ht="15.75" thickTop="1" x14ac:dyDescent="0.25">
      <c r="B100" s="125"/>
      <c r="C100" s="125"/>
      <c r="D100" s="125"/>
      <c r="E100" s="125"/>
      <c r="F100" s="125"/>
      <c r="G100" s="125"/>
    </row>
    <row r="102" spans="1:7" x14ac:dyDescent="0.25">
      <c r="A102" t="s">
        <v>372</v>
      </c>
      <c r="B102" s="93">
        <v>243691.78</v>
      </c>
      <c r="C102" s="93">
        <v>113969.36</v>
      </c>
      <c r="D102" s="93">
        <v>122655.33</v>
      </c>
      <c r="E102" s="93">
        <v>8887.34</v>
      </c>
      <c r="F102" s="93">
        <v>135065.87</v>
      </c>
      <c r="G102" s="125">
        <f>SUM(B102:F102)</f>
        <v>624269.68000000005</v>
      </c>
    </row>
    <row r="103" spans="1:7" x14ac:dyDescent="0.25">
      <c r="B103" s="93">
        <f t="shared" ref="B103:D103" si="10">B99-B102</f>
        <v>-5.9130252338945866E-7</v>
      </c>
      <c r="C103" s="93">
        <f t="shared" si="10"/>
        <v>-6.2718754634261131E-9</v>
      </c>
      <c r="D103" s="93">
        <f t="shared" si="10"/>
        <v>0</v>
      </c>
      <c r="E103" s="93">
        <f>E99-E102</f>
        <v>0</v>
      </c>
      <c r="F103" s="93">
        <f>F99-F102</f>
        <v>2166.4000000000815</v>
      </c>
      <c r="G103" s="93">
        <f>G99-G102</f>
        <v>2166.3999994025799</v>
      </c>
    </row>
    <row r="104" spans="1:7" x14ac:dyDescent="0.25">
      <c r="B104" s="93"/>
      <c r="C104" s="93"/>
      <c r="D104" s="93"/>
      <c r="E104" s="93"/>
      <c r="G104" s="125">
        <f>G102-'Comparative YTD 2018-2017 April'!G107</f>
        <v>-2166.3999994025799</v>
      </c>
    </row>
    <row r="105" spans="1:7" x14ac:dyDescent="0.25">
      <c r="B105" s="93"/>
      <c r="C105" s="93"/>
      <c r="D105" s="93"/>
      <c r="E105" s="93"/>
    </row>
    <row r="106" spans="1:7" x14ac:dyDescent="0.25">
      <c r="B106" s="93"/>
      <c r="C106" s="93"/>
      <c r="D106" s="93"/>
      <c r="E106" s="93"/>
    </row>
    <row r="107" spans="1:7" x14ac:dyDescent="0.25">
      <c r="B107" s="93"/>
      <c r="C107" s="93"/>
      <c r="D107" s="93"/>
      <c r="E107" s="93"/>
    </row>
    <row r="108" spans="1:7" x14ac:dyDescent="0.25">
      <c r="B108" s="93"/>
      <c r="C108" s="93"/>
      <c r="D108" s="93"/>
      <c r="E108" s="93"/>
    </row>
    <row r="109" spans="1:7" x14ac:dyDescent="0.25">
      <c r="B109" s="93"/>
      <c r="C109" s="93"/>
      <c r="D109" s="93"/>
      <c r="E109" s="93"/>
    </row>
  </sheetData>
  <mergeCells count="4">
    <mergeCell ref="A1:G1"/>
    <mergeCell ref="A4:G4"/>
    <mergeCell ref="A3:G3"/>
    <mergeCell ref="A2:G2"/>
  </mergeCells>
  <pageMargins left="0.7" right="0.7" top="0.75" bottom="0.75" header="0.3" footer="0.3"/>
  <pageSetup scale="72"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B0EA-0514-41C5-800A-B54351ACBC37}">
  <dimension ref="A2:X117"/>
  <sheetViews>
    <sheetView zoomScale="50" zoomScaleNormal="50" workbookViewId="0">
      <pane ySplit="14" topLeftCell="A74" activePane="bottomLeft" state="frozen"/>
      <selection pane="bottomLeft" activeCell="F103" sqref="F103"/>
    </sheetView>
  </sheetViews>
  <sheetFormatPr defaultRowHeight="15" x14ac:dyDescent="0.25"/>
  <cols>
    <col min="1" max="1" width="66.42578125" bestFit="1" customWidth="1"/>
    <col min="2" max="2" width="32.7109375" customWidth="1"/>
    <col min="3" max="3" width="27.5703125" customWidth="1"/>
    <col min="4" max="4" width="22.42578125" customWidth="1"/>
    <col min="5" max="5" width="21.5703125" customWidth="1"/>
    <col min="6" max="6" width="22.42578125" bestFit="1" customWidth="1"/>
    <col min="7" max="7" width="32.7109375" bestFit="1" customWidth="1"/>
    <col min="8" max="8" width="15.85546875" bestFit="1" customWidth="1"/>
    <col min="9" max="9" width="11.42578125" customWidth="1"/>
    <col min="10" max="10" width="66.42578125" bestFit="1" customWidth="1"/>
    <col min="11" max="11" width="32.7109375" customWidth="1"/>
    <col min="12" max="12" width="27.5703125" customWidth="1"/>
    <col min="13" max="15" width="24.7109375" customWidth="1"/>
    <col min="16" max="16" width="32.5703125" bestFit="1" customWidth="1"/>
    <col min="17" max="17" width="15.28515625" customWidth="1"/>
    <col min="18" max="18" width="11.42578125" customWidth="1"/>
    <col min="19" max="19" width="32.7109375" style="93" bestFit="1" customWidth="1"/>
    <col min="20" max="20" width="4.28515625" style="93" customWidth="1"/>
    <col min="21" max="21" width="17.42578125" style="124" bestFit="1" customWidth="1"/>
    <col min="22" max="22" width="4.28515625" style="93" customWidth="1"/>
    <col min="23" max="23" width="19" style="124" bestFit="1" customWidth="1"/>
  </cols>
  <sheetData>
    <row r="2" spans="1:23" ht="40.5" customHeight="1" x14ac:dyDescent="0.7">
      <c r="A2" s="160" t="s">
        <v>392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</row>
    <row r="3" spans="1:23" ht="40.5" customHeight="1" x14ac:dyDescent="0.7">
      <c r="A3" s="160" t="s">
        <v>391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</row>
    <row r="4" spans="1:23" ht="45" customHeight="1" x14ac:dyDescent="0.25"/>
    <row r="5" spans="1:23" s="135" customFormat="1" ht="24.75" customHeight="1" x14ac:dyDescent="0.4">
      <c r="A5" s="164">
        <v>2018</v>
      </c>
      <c r="B5" s="165"/>
      <c r="C5" s="165"/>
      <c r="D5" s="165"/>
      <c r="E5" s="165"/>
      <c r="F5" s="165"/>
      <c r="G5" s="165"/>
      <c r="H5" s="166"/>
      <c r="J5" s="164">
        <v>2017</v>
      </c>
      <c r="K5" s="165"/>
      <c r="L5" s="165"/>
      <c r="M5" s="165"/>
      <c r="N5" s="165"/>
      <c r="O5" s="165"/>
      <c r="P5" s="165"/>
      <c r="Q5" s="166"/>
      <c r="S5" s="167" t="s">
        <v>380</v>
      </c>
      <c r="T5" s="168"/>
      <c r="U5" s="168"/>
      <c r="V5" s="168"/>
      <c r="W5" s="169"/>
    </row>
    <row r="6" spans="1:23" s="135" customFormat="1" ht="24.75" customHeight="1" x14ac:dyDescent="0.4">
      <c r="A6" s="176" t="s">
        <v>370</v>
      </c>
      <c r="B6" s="177"/>
      <c r="C6" s="177"/>
      <c r="D6" s="177"/>
      <c r="E6" s="177"/>
      <c r="F6" s="177"/>
      <c r="G6" s="177"/>
      <c r="H6" s="178"/>
      <c r="J6" s="176" t="s">
        <v>370</v>
      </c>
      <c r="K6" s="177"/>
      <c r="L6" s="177"/>
      <c r="M6" s="177"/>
      <c r="N6" s="177"/>
      <c r="O6" s="177"/>
      <c r="P6" s="177"/>
      <c r="Q6" s="178"/>
      <c r="S6" s="170"/>
      <c r="T6" s="171"/>
      <c r="U6" s="171"/>
      <c r="V6" s="171"/>
      <c r="W6" s="172"/>
    </row>
    <row r="7" spans="1:23" s="135" customFormat="1" ht="24.75" customHeight="1" x14ac:dyDescent="0.4">
      <c r="A7" s="176" t="s">
        <v>389</v>
      </c>
      <c r="B7" s="177"/>
      <c r="C7" s="177"/>
      <c r="D7" s="177"/>
      <c r="E7" s="177"/>
      <c r="F7" s="177"/>
      <c r="G7" s="177"/>
      <c r="H7" s="178"/>
      <c r="J7" s="176" t="s">
        <v>389</v>
      </c>
      <c r="K7" s="177"/>
      <c r="L7" s="177"/>
      <c r="M7" s="177"/>
      <c r="N7" s="177"/>
      <c r="O7" s="177"/>
      <c r="P7" s="177"/>
      <c r="Q7" s="178"/>
      <c r="S7" s="170"/>
      <c r="T7" s="171"/>
      <c r="U7" s="171"/>
      <c r="V7" s="171"/>
      <c r="W7" s="172"/>
    </row>
    <row r="8" spans="1:23" s="135" customFormat="1" ht="24.75" customHeight="1" x14ac:dyDescent="0.4">
      <c r="A8" s="161" t="s">
        <v>390</v>
      </c>
      <c r="B8" s="162"/>
      <c r="C8" s="162"/>
      <c r="D8" s="162"/>
      <c r="E8" s="162"/>
      <c r="F8" s="162"/>
      <c r="G8" s="162"/>
      <c r="H8" s="163"/>
      <c r="J8" s="161" t="s">
        <v>378</v>
      </c>
      <c r="K8" s="162"/>
      <c r="L8" s="162"/>
      <c r="M8" s="162"/>
      <c r="N8" s="162"/>
      <c r="O8" s="162"/>
      <c r="P8" s="162"/>
      <c r="Q8" s="163"/>
      <c r="S8" s="173"/>
      <c r="T8" s="174"/>
      <c r="U8" s="174"/>
      <c r="V8" s="174"/>
      <c r="W8" s="175"/>
    </row>
    <row r="9" spans="1:23" s="135" customFormat="1" ht="24.75" customHeight="1" x14ac:dyDescent="0.4">
      <c r="A9" s="140"/>
      <c r="B9" s="140"/>
      <c r="C9" s="140"/>
      <c r="D9" s="140"/>
      <c r="E9" s="140"/>
      <c r="F9" s="140"/>
      <c r="G9" s="140"/>
      <c r="H9" s="140"/>
      <c r="J9" s="140"/>
      <c r="K9" s="140"/>
      <c r="L9" s="140"/>
      <c r="M9" s="140"/>
      <c r="N9" s="140"/>
      <c r="O9" s="140"/>
      <c r="P9" s="140"/>
      <c r="Q9" s="140"/>
      <c r="S9" s="141"/>
      <c r="T9" s="141"/>
      <c r="U9" s="141"/>
      <c r="V9" s="141"/>
      <c r="W9" s="141"/>
    </row>
    <row r="10" spans="1:23" s="135" customFormat="1" ht="24.75" customHeight="1" x14ac:dyDescent="0.4">
      <c r="H10" s="140">
        <v>2018</v>
      </c>
      <c r="I10" s="140"/>
      <c r="J10" s="142"/>
      <c r="K10" s="142"/>
      <c r="L10" s="142"/>
      <c r="M10" s="142"/>
      <c r="N10" s="142"/>
      <c r="O10" s="142"/>
      <c r="P10" s="142"/>
      <c r="Q10" s="140">
        <v>2017</v>
      </c>
      <c r="R10" s="140"/>
      <c r="S10" s="138"/>
      <c r="T10" s="138"/>
      <c r="U10" s="139"/>
      <c r="V10" s="138"/>
      <c r="W10" s="139"/>
    </row>
    <row r="11" spans="1:23" s="135" customFormat="1" ht="24.75" customHeight="1" x14ac:dyDescent="0.4">
      <c r="H11" s="140" t="s">
        <v>388</v>
      </c>
      <c r="I11" s="140"/>
      <c r="J11" s="142"/>
      <c r="K11" s="142"/>
      <c r="L11" s="142"/>
      <c r="M11" s="142"/>
      <c r="N11" s="142"/>
      <c r="O11" s="142"/>
      <c r="P11" s="142"/>
      <c r="Q11" s="140" t="s">
        <v>388</v>
      </c>
      <c r="R11" s="140"/>
      <c r="S11" s="138"/>
      <c r="T11" s="138"/>
      <c r="U11" s="140" t="s">
        <v>383</v>
      </c>
      <c r="V11" s="138"/>
      <c r="W11" s="139"/>
    </row>
    <row r="12" spans="1:23" s="135" customFormat="1" ht="24.75" customHeight="1" x14ac:dyDescent="0.4">
      <c r="H12" s="140" t="s">
        <v>386</v>
      </c>
      <c r="I12" s="140"/>
      <c r="Q12" s="140" t="s">
        <v>386</v>
      </c>
      <c r="R12" s="140"/>
      <c r="S12" s="140" t="s">
        <v>383</v>
      </c>
      <c r="T12" s="140"/>
      <c r="U12" s="139" t="s">
        <v>386</v>
      </c>
      <c r="V12" s="140"/>
      <c r="W12" s="140" t="s">
        <v>385</v>
      </c>
    </row>
    <row r="13" spans="1:23" s="135" customFormat="1" ht="24.75" customHeight="1" x14ac:dyDescent="0.4">
      <c r="G13" s="140" t="s">
        <v>218</v>
      </c>
      <c r="H13" s="140" t="s">
        <v>218</v>
      </c>
      <c r="I13" s="140"/>
      <c r="P13" s="140" t="s">
        <v>218</v>
      </c>
      <c r="Q13" s="140" t="s">
        <v>218</v>
      </c>
      <c r="R13" s="140"/>
      <c r="S13" s="140" t="s">
        <v>384</v>
      </c>
      <c r="T13" s="140"/>
      <c r="U13" s="140" t="s">
        <v>384</v>
      </c>
      <c r="V13" s="140"/>
      <c r="W13" s="140" t="s">
        <v>387</v>
      </c>
    </row>
    <row r="14" spans="1:23" s="135" customFormat="1" ht="24.75" customHeight="1" x14ac:dyDescent="0.4">
      <c r="B14" s="143" t="s">
        <v>244</v>
      </c>
      <c r="C14" s="143" t="s">
        <v>246</v>
      </c>
      <c r="D14" s="143" t="s">
        <v>245</v>
      </c>
      <c r="E14" s="143" t="s">
        <v>247</v>
      </c>
      <c r="F14" s="143" t="s">
        <v>248</v>
      </c>
      <c r="G14" s="143">
        <v>2018</v>
      </c>
      <c r="H14" s="144" t="s">
        <v>382</v>
      </c>
      <c r="I14" s="144"/>
      <c r="K14" s="143" t="s">
        <v>244</v>
      </c>
      <c r="L14" s="143" t="s">
        <v>246</v>
      </c>
      <c r="M14" s="143" t="s">
        <v>245</v>
      </c>
      <c r="N14" s="143" t="s">
        <v>247</v>
      </c>
      <c r="O14" s="143" t="s">
        <v>248</v>
      </c>
      <c r="P14" s="143">
        <v>2017</v>
      </c>
      <c r="Q14" s="144" t="s">
        <v>382</v>
      </c>
      <c r="R14" s="144"/>
      <c r="S14" s="143" t="s">
        <v>381</v>
      </c>
      <c r="T14" s="143"/>
      <c r="U14" s="143" t="s">
        <v>382</v>
      </c>
      <c r="V14" s="143"/>
      <c r="W14" s="143" t="s">
        <v>382</v>
      </c>
    </row>
    <row r="15" spans="1:23" s="135" customFormat="1" ht="24.75" customHeight="1" x14ac:dyDescent="0.4">
      <c r="A15" s="145" t="s">
        <v>63</v>
      </c>
      <c r="J15" s="145" t="s">
        <v>63</v>
      </c>
      <c r="U15" s="139"/>
      <c r="W15" s="139"/>
    </row>
    <row r="16" spans="1:23" s="135" customFormat="1" ht="24.75" customHeight="1" x14ac:dyDescent="0.4">
      <c r="A16" s="135" t="s">
        <v>249</v>
      </c>
      <c r="B16" s="136">
        <f>'CNT (from FS Analysis)'!N102+'CNT (from FS Analysis)'!N113</f>
        <v>457906563.70999998</v>
      </c>
      <c r="C16" s="136">
        <f>BPM!F8+BPM!F13</f>
        <v>18678310.079999998</v>
      </c>
      <c r="D16" s="136">
        <v>0</v>
      </c>
      <c r="E16" s="136">
        <v>0</v>
      </c>
      <c r="F16" s="136">
        <v>0</v>
      </c>
      <c r="G16" s="136">
        <f>SUM(B16:F16)</f>
        <v>476584873.78999996</v>
      </c>
      <c r="H16" s="137">
        <f>G16/$G$23</f>
        <v>0.19155277586185032</v>
      </c>
      <c r="I16" s="137"/>
      <c r="J16" s="135" t="s">
        <v>249</v>
      </c>
      <c r="K16" s="136">
        <f>967746328.38+-1994049.57</f>
        <v>965752278.80999994</v>
      </c>
      <c r="L16" s="136">
        <v>9128648.8599999994</v>
      </c>
      <c r="M16" s="136">
        <v>0</v>
      </c>
      <c r="N16" s="136"/>
      <c r="O16" s="136"/>
      <c r="P16" s="136">
        <f>SUM(K16:O16)</f>
        <v>974880927.66999996</v>
      </c>
      <c r="Q16" s="137">
        <f>P16/$P$23</f>
        <v>0.60174446408784521</v>
      </c>
      <c r="R16" s="137"/>
      <c r="S16" s="136">
        <f>G16-P16</f>
        <v>-498296053.88</v>
      </c>
      <c r="T16" s="136"/>
      <c r="U16" s="137">
        <f>G16/P16</f>
        <v>0.48886470158879275</v>
      </c>
      <c r="V16" s="136"/>
      <c r="W16" s="137">
        <f>U16-1</f>
        <v>-0.5111352984112072</v>
      </c>
    </row>
    <row r="17" spans="1:23" s="135" customFormat="1" ht="24.75" customHeight="1" x14ac:dyDescent="0.4">
      <c r="A17" s="135" t="s">
        <v>250</v>
      </c>
      <c r="B17" s="136">
        <f>'CNT (from FS Analysis)'!N103+'CNT (from FS Analysis)'!N114</f>
        <v>1989101405.02</v>
      </c>
      <c r="C17" s="136">
        <f>BPM!F9</f>
        <v>1457024.99</v>
      </c>
      <c r="D17" s="136">
        <v>0</v>
      </c>
      <c r="E17" s="136">
        <v>0</v>
      </c>
      <c r="F17" s="136">
        <v>0</v>
      </c>
      <c r="G17" s="136">
        <f t="shared" ref="G17:G90" si="0">SUM(B17:F17)</f>
        <v>1990558430.01</v>
      </c>
      <c r="H17" s="137">
        <f t="shared" ref="H17:H22" si="1">G17/$G$23</f>
        <v>0.80006104631771224</v>
      </c>
      <c r="I17" s="137"/>
      <c r="J17" s="135" t="s">
        <v>250</v>
      </c>
      <c r="K17" s="136">
        <f>668766417.42+-45439947.44</f>
        <v>623326469.98000002</v>
      </c>
      <c r="L17" s="136">
        <f>3440593.93-525.3</f>
        <v>3440068.6300000004</v>
      </c>
      <c r="M17" s="136">
        <v>0</v>
      </c>
      <c r="N17" s="136"/>
      <c r="O17" s="136"/>
      <c r="P17" s="136">
        <f t="shared" ref="P17:P90" si="2">SUM(K17:O17)</f>
        <v>626766538.61000001</v>
      </c>
      <c r="Q17" s="137">
        <f t="shared" ref="Q17:Q22" si="3">P17/$P$23</f>
        <v>0.38687113900717907</v>
      </c>
      <c r="R17" s="137"/>
      <c r="S17" s="136">
        <f t="shared" ref="S17:S23" si="4">G17-P17</f>
        <v>1363791891.4000001</v>
      </c>
      <c r="T17" s="136"/>
      <c r="U17" s="137">
        <f t="shared" ref="U17:U22" si="5">G17/P17</f>
        <v>3.1759168803499378</v>
      </c>
      <c r="V17" s="136"/>
      <c r="W17" s="137">
        <f t="shared" ref="W17:W86" si="6">U17-1</f>
        <v>2.1759168803499378</v>
      </c>
    </row>
    <row r="18" spans="1:23" s="135" customFormat="1" ht="24.75" customHeight="1" x14ac:dyDescent="0.4">
      <c r="A18" s="135" t="s">
        <v>251</v>
      </c>
      <c r="B18" s="136">
        <f>'CNT (from FS Analysis)'!N104+'CNT (from FS Analysis)'!N115</f>
        <v>8049386.8099999996</v>
      </c>
      <c r="C18" s="136">
        <f>BPM!F10</f>
        <v>160252.07</v>
      </c>
      <c r="D18" s="136">
        <v>0</v>
      </c>
      <c r="E18" s="136">
        <v>0</v>
      </c>
      <c r="F18" s="136">
        <v>0</v>
      </c>
      <c r="G18" s="136">
        <f t="shared" si="0"/>
        <v>8209638.8799999999</v>
      </c>
      <c r="H18" s="137">
        <f t="shared" si="1"/>
        <v>3.2996832311977769E-3</v>
      </c>
      <c r="I18" s="137"/>
      <c r="J18" s="135" t="s">
        <v>251</v>
      </c>
      <c r="K18" s="136">
        <f>11688865.66-1087.5</f>
        <v>11687778.16</v>
      </c>
      <c r="L18" s="136">
        <v>866013.79</v>
      </c>
      <c r="M18" s="136">
        <v>0</v>
      </c>
      <c r="N18" s="136"/>
      <c r="O18" s="136"/>
      <c r="P18" s="136">
        <f t="shared" si="2"/>
        <v>12553791.949999999</v>
      </c>
      <c r="Q18" s="137">
        <f t="shared" si="3"/>
        <v>7.7488179272086092E-3</v>
      </c>
      <c r="R18" s="137"/>
      <c r="S18" s="136">
        <f t="shared" si="4"/>
        <v>-4344153.0699999994</v>
      </c>
      <c r="T18" s="136"/>
      <c r="U18" s="137">
        <f t="shared" si="5"/>
        <v>0.65395690104614168</v>
      </c>
      <c r="V18" s="136"/>
      <c r="W18" s="137">
        <f t="shared" si="6"/>
        <v>-0.34604309895385832</v>
      </c>
    </row>
    <row r="19" spans="1:23" s="135" customFormat="1" ht="24.75" customHeight="1" x14ac:dyDescent="0.4">
      <c r="A19" s="135" t="s">
        <v>252</v>
      </c>
      <c r="B19" s="136">
        <f>'CNT (from FS Analysis)'!N105+'CNT (from FS Analysis)'!N116</f>
        <v>8312379.8700000001</v>
      </c>
      <c r="C19" s="136">
        <v>0</v>
      </c>
      <c r="D19" s="136">
        <v>0</v>
      </c>
      <c r="E19" s="136">
        <v>0</v>
      </c>
      <c r="F19" s="136">
        <v>0</v>
      </c>
      <c r="G19" s="136">
        <f t="shared" si="0"/>
        <v>8312379.8700000001</v>
      </c>
      <c r="H19" s="137">
        <f t="shared" si="1"/>
        <v>3.3409777055120552E-3</v>
      </c>
      <c r="I19" s="137"/>
      <c r="J19" s="135" t="s">
        <v>252</v>
      </c>
      <c r="K19" s="136">
        <f>2201395.53-860</f>
        <v>2200535.5299999998</v>
      </c>
      <c r="L19" s="136">
        <v>11928.98</v>
      </c>
      <c r="M19" s="136">
        <v>0</v>
      </c>
      <c r="N19" s="136"/>
      <c r="O19" s="136"/>
      <c r="P19" s="136">
        <f t="shared" si="2"/>
        <v>2212464.5099999998</v>
      </c>
      <c r="Q19" s="137">
        <f t="shared" si="3"/>
        <v>1.3656419292818382E-3</v>
      </c>
      <c r="R19" s="137"/>
      <c r="S19" s="136">
        <f t="shared" si="4"/>
        <v>6099915.3600000003</v>
      </c>
      <c r="T19" s="136"/>
      <c r="U19" s="137">
        <f t="shared" si="5"/>
        <v>3.7570681167672157</v>
      </c>
      <c r="V19" s="136"/>
      <c r="W19" s="137">
        <f t="shared" si="6"/>
        <v>2.7570681167672157</v>
      </c>
    </row>
    <row r="20" spans="1:23" s="135" customFormat="1" ht="24.75" customHeight="1" x14ac:dyDescent="0.4">
      <c r="A20" s="135" t="s">
        <v>253</v>
      </c>
      <c r="B20" s="136">
        <f>'CNT (from FS Analysis)'!N109+'CNT (from FS Analysis)'!N119</f>
        <v>1677325.3900000001</v>
      </c>
      <c r="C20" s="136">
        <f>0</f>
        <v>0</v>
      </c>
      <c r="D20" s="136">
        <v>0</v>
      </c>
      <c r="E20" s="136">
        <v>0</v>
      </c>
      <c r="F20" s="136">
        <v>0</v>
      </c>
      <c r="G20" s="136">
        <f t="shared" si="0"/>
        <v>1677325.3900000001</v>
      </c>
      <c r="H20" s="137">
        <f t="shared" si="1"/>
        <v>6.7416393626381678E-4</v>
      </c>
      <c r="I20" s="137"/>
      <c r="J20" s="135" t="s">
        <v>253</v>
      </c>
      <c r="K20" s="136">
        <f>861237-4425</f>
        <v>856812</v>
      </c>
      <c r="L20" s="136">
        <v>15965</v>
      </c>
      <c r="M20" s="136">
        <v>0</v>
      </c>
      <c r="N20" s="136"/>
      <c r="O20" s="136"/>
      <c r="P20" s="136">
        <f t="shared" si="2"/>
        <v>872777</v>
      </c>
      <c r="Q20" s="137">
        <f t="shared" si="3"/>
        <v>5.3872089731862643E-4</v>
      </c>
      <c r="R20" s="137"/>
      <c r="S20" s="136">
        <f t="shared" si="4"/>
        <v>804548.39000000013</v>
      </c>
      <c r="T20" s="136"/>
      <c r="U20" s="137">
        <f t="shared" si="5"/>
        <v>1.9218258386735674</v>
      </c>
      <c r="V20" s="136"/>
      <c r="W20" s="137">
        <f t="shared" si="6"/>
        <v>0.92182583867356738</v>
      </c>
    </row>
    <row r="21" spans="1:23" s="135" customFormat="1" ht="24.75" customHeight="1" x14ac:dyDescent="0.4">
      <c r="A21" s="135" t="s">
        <v>254</v>
      </c>
      <c r="B21" s="136">
        <f>'CNT (from FS Analysis)'!N120+'CNT (from FS Analysis)'!N121</f>
        <v>292312.5</v>
      </c>
      <c r="C21" s="136">
        <v>0</v>
      </c>
      <c r="D21" s="136">
        <v>0</v>
      </c>
      <c r="E21" s="136">
        <v>0</v>
      </c>
      <c r="F21" s="136">
        <v>0</v>
      </c>
      <c r="G21" s="136">
        <f t="shared" si="0"/>
        <v>292312.5</v>
      </c>
      <c r="H21" s="137">
        <f t="shared" si="1"/>
        <v>1.1748856053452868E-4</v>
      </c>
      <c r="I21" s="137"/>
      <c r="J21" s="135" t="s">
        <v>254</v>
      </c>
      <c r="K21" s="136">
        <v>0</v>
      </c>
      <c r="L21" s="136">
        <v>0</v>
      </c>
      <c r="M21" s="136">
        <v>0</v>
      </c>
      <c r="N21" s="136"/>
      <c r="O21" s="136"/>
      <c r="P21" s="136">
        <f t="shared" si="2"/>
        <v>0</v>
      </c>
      <c r="Q21" s="137">
        <f t="shared" si="3"/>
        <v>0</v>
      </c>
      <c r="R21" s="137"/>
      <c r="S21" s="136">
        <f t="shared" si="4"/>
        <v>292312.5</v>
      </c>
      <c r="T21" s="136"/>
      <c r="U21" s="146">
        <v>0</v>
      </c>
      <c r="V21" s="136"/>
      <c r="W21" s="146">
        <v>0</v>
      </c>
    </row>
    <row r="22" spans="1:23" s="135" customFormat="1" ht="24.75" customHeight="1" x14ac:dyDescent="0.4">
      <c r="A22" s="135" t="s">
        <v>255</v>
      </c>
      <c r="B22" s="136">
        <f>'CNT (from FS Analysis)'!N107+'CNT (from FS Analysis)'!N108+'CNT (from FS Analysis)'!N110+'CNT (from FS Analysis)'!N111+'CNT (from FS Analysis)'!N112</f>
        <v>366487.15</v>
      </c>
      <c r="C22" s="136">
        <f>BPM!F11+BPM!F12</f>
        <v>893636</v>
      </c>
      <c r="D22" s="136">
        <f>DEP!F15</f>
        <v>636176.05000000005</v>
      </c>
      <c r="E22" s="136">
        <v>0</v>
      </c>
      <c r="F22" s="136">
        <f>'BSC (Dome)'!G14</f>
        <v>476923.20000000007</v>
      </c>
      <c r="G22" s="136">
        <f t="shared" si="0"/>
        <v>2373222.3999999999</v>
      </c>
      <c r="H22" s="137">
        <f t="shared" si="1"/>
        <v>9.5386438692939717E-4</v>
      </c>
      <c r="I22" s="137"/>
      <c r="J22" s="135" t="s">
        <v>255</v>
      </c>
      <c r="K22" s="136">
        <f>330+674211.75+204619.05+28599.77+77845.76-1089</f>
        <v>984517.33000000007</v>
      </c>
      <c r="L22" s="136">
        <f>192+40238.07+423452.58</f>
        <v>463882.65</v>
      </c>
      <c r="M22" s="136">
        <f>813442.58</f>
        <v>813442.58</v>
      </c>
      <c r="N22" s="136"/>
      <c r="O22" s="136">
        <v>542885.54</v>
      </c>
      <c r="P22" s="136">
        <f t="shared" si="2"/>
        <v>2804728.1</v>
      </c>
      <c r="Q22" s="137">
        <f t="shared" si="3"/>
        <v>1.7312161511666396E-3</v>
      </c>
      <c r="R22" s="137"/>
      <c r="S22" s="136">
        <f t="shared" si="4"/>
        <v>-431505.70000000019</v>
      </c>
      <c r="T22" s="136"/>
      <c r="U22" s="137">
        <f t="shared" si="5"/>
        <v>0.84615061260305402</v>
      </c>
      <c r="V22" s="136"/>
      <c r="W22" s="137">
        <f t="shared" si="6"/>
        <v>-0.15384938739694598</v>
      </c>
    </row>
    <row r="23" spans="1:23" s="135" customFormat="1" ht="24.75" customHeight="1" x14ac:dyDescent="0.4">
      <c r="A23" s="145" t="s">
        <v>256</v>
      </c>
      <c r="B23" s="147">
        <f>SUM(B16:B22)</f>
        <v>2465705860.4499998</v>
      </c>
      <c r="C23" s="147">
        <f t="shared" ref="C23:F23" si="7">SUM(C16:C22)</f>
        <v>21189223.139999997</v>
      </c>
      <c r="D23" s="147">
        <f t="shared" si="7"/>
        <v>636176.05000000005</v>
      </c>
      <c r="E23" s="147">
        <f t="shared" si="7"/>
        <v>0</v>
      </c>
      <c r="F23" s="147">
        <f t="shared" si="7"/>
        <v>476923.20000000007</v>
      </c>
      <c r="G23" s="147">
        <f t="shared" si="0"/>
        <v>2488008182.8399997</v>
      </c>
      <c r="H23" s="148">
        <f>SUM(H16:H22)</f>
        <v>1</v>
      </c>
      <c r="I23" s="149"/>
      <c r="J23" s="145" t="s">
        <v>256</v>
      </c>
      <c r="K23" s="147">
        <f>SUM(K16:K22)</f>
        <v>1604808391.8099999</v>
      </c>
      <c r="L23" s="147">
        <f t="shared" ref="L23:O23" si="8">SUM(L16:L22)</f>
        <v>13926507.910000002</v>
      </c>
      <c r="M23" s="147">
        <f t="shared" si="8"/>
        <v>813442.58</v>
      </c>
      <c r="N23" s="147">
        <f t="shared" si="8"/>
        <v>0</v>
      </c>
      <c r="O23" s="147">
        <f t="shared" si="8"/>
        <v>542885.54</v>
      </c>
      <c r="P23" s="147">
        <f t="shared" si="2"/>
        <v>1620091227.8399999</v>
      </c>
      <c r="Q23" s="148">
        <f>SUM(Q16:Q22)</f>
        <v>1</v>
      </c>
      <c r="R23" s="149"/>
      <c r="S23" s="147">
        <f t="shared" si="4"/>
        <v>867916954.99999976</v>
      </c>
      <c r="T23" s="147"/>
      <c r="U23" s="148">
        <f>G23/P23</f>
        <v>1.535721038473344</v>
      </c>
      <c r="V23" s="147"/>
      <c r="W23" s="148">
        <f t="shared" si="6"/>
        <v>0.53572103847334396</v>
      </c>
    </row>
    <row r="24" spans="1:23" s="135" customFormat="1" ht="24.75" customHeight="1" x14ac:dyDescent="0.4">
      <c r="B24" s="136"/>
      <c r="C24" s="136"/>
      <c r="D24" s="136"/>
      <c r="E24" s="136"/>
      <c r="F24" s="136"/>
      <c r="G24" s="136">
        <f t="shared" si="0"/>
        <v>0</v>
      </c>
      <c r="K24" s="136"/>
      <c r="L24" s="136"/>
      <c r="M24" s="136"/>
      <c r="N24" s="136"/>
      <c r="O24" s="136"/>
      <c r="P24" s="136">
        <f t="shared" si="2"/>
        <v>0</v>
      </c>
      <c r="S24" s="136"/>
      <c r="T24" s="136"/>
      <c r="U24" s="150"/>
      <c r="V24" s="136"/>
      <c r="W24" s="150"/>
    </row>
    <row r="25" spans="1:23" s="135" customFormat="1" ht="24.75" customHeight="1" x14ac:dyDescent="0.4">
      <c r="A25" s="145" t="s">
        <v>219</v>
      </c>
      <c r="B25" s="136"/>
      <c r="C25" s="136"/>
      <c r="D25" s="136"/>
      <c r="E25" s="136"/>
      <c r="F25" s="136"/>
      <c r="G25" s="136">
        <f t="shared" si="0"/>
        <v>0</v>
      </c>
      <c r="J25" s="145" t="s">
        <v>219</v>
      </c>
      <c r="K25" s="136"/>
      <c r="L25" s="136"/>
      <c r="M25" s="136"/>
      <c r="N25" s="136"/>
      <c r="O25" s="136"/>
      <c r="P25" s="136">
        <f t="shared" si="2"/>
        <v>0</v>
      </c>
      <c r="S25" s="136"/>
      <c r="T25" s="136"/>
      <c r="U25" s="150"/>
      <c r="V25" s="136"/>
      <c r="W25" s="150"/>
    </row>
    <row r="26" spans="1:23" s="135" customFormat="1" ht="24.75" customHeight="1" x14ac:dyDescent="0.4">
      <c r="A26" s="135" t="s">
        <v>249</v>
      </c>
      <c r="B26" s="136">
        <f>'CNT (from FS Analysis)'!N126+'CNT (from FS Analysis)'!N138+'CNT (from FS Analysis)'!N143+'CNT (from FS Analysis)'!N142+'CNT (from FS Analysis)'!N147+'CNT (from FS Analysis)'!N151+'CNT (from FS Analysis)'!N157</f>
        <v>453571399.99000001</v>
      </c>
      <c r="C26" s="136">
        <f>BPM!F17+BPM!F23</f>
        <v>18622059.400000002</v>
      </c>
      <c r="D26" s="136">
        <v>0</v>
      </c>
      <c r="E26" s="136">
        <v>0</v>
      </c>
      <c r="F26" s="136">
        <v>0</v>
      </c>
      <c r="G26" s="136">
        <f t="shared" si="0"/>
        <v>472193459.38999999</v>
      </c>
      <c r="H26" s="137">
        <f>G26/$G$33</f>
        <v>0.19008286272213007</v>
      </c>
      <c r="I26" s="137"/>
      <c r="J26" s="135" t="s">
        <v>249</v>
      </c>
      <c r="K26" s="136">
        <f>962456538.34+124442958.69+-124783600.95+1498751209.41+168044.02+1704566.5+-1503772281.07</f>
        <v>958967434.93999982</v>
      </c>
      <c r="L26" s="136">
        <f>8967148.45+552.91+6322.2</f>
        <v>8974023.5599999987</v>
      </c>
      <c r="M26" s="136">
        <v>0</v>
      </c>
      <c r="N26" s="136">
        <v>0</v>
      </c>
      <c r="O26" s="136"/>
      <c r="P26" s="136">
        <f t="shared" si="2"/>
        <v>967941458.49999976</v>
      </c>
      <c r="Q26" s="137">
        <f>P26/$P$33</f>
        <v>0.5986704869262589</v>
      </c>
      <c r="R26" s="137"/>
      <c r="S26" s="136">
        <f>G26-P26</f>
        <v>-495747999.10999978</v>
      </c>
      <c r="T26" s="136"/>
      <c r="U26" s="137">
        <f>G26/P26</f>
        <v>0.48783266306388934</v>
      </c>
      <c r="V26" s="136"/>
      <c r="W26" s="137">
        <f t="shared" si="6"/>
        <v>-0.51216733693611061</v>
      </c>
    </row>
    <row r="27" spans="1:23" s="135" customFormat="1" ht="24.75" customHeight="1" x14ac:dyDescent="0.4">
      <c r="A27" s="135" t="s">
        <v>250</v>
      </c>
      <c r="B27" s="136">
        <f>'CNT (from FS Analysis)'!N127+'CNT (from FS Analysis)'!N139+'CNT (from FS Analysis)'!N144+'CNT (from FS Analysis)'!N148+'CNT (from FS Analysis)'!N152+'CNT (from FS Analysis)'!N155+'CNT (from FS Analysis)'!N158</f>
        <v>1984828296.6400001</v>
      </c>
      <c r="C27" s="136">
        <f>BPM!F18+BPM!F24</f>
        <v>1383524.6400000001</v>
      </c>
      <c r="D27" s="136">
        <v>0</v>
      </c>
      <c r="E27" s="136">
        <v>0</v>
      </c>
      <c r="F27" s="136">
        <v>0</v>
      </c>
      <c r="G27" s="136">
        <f t="shared" si="0"/>
        <v>1986211821.2800002</v>
      </c>
      <c r="H27" s="137">
        <f t="shared" ref="H27:H32" si="9">G27/$G$33</f>
        <v>0.79955539716532087</v>
      </c>
      <c r="I27" s="137"/>
      <c r="J27" s="135" t="s">
        <v>250</v>
      </c>
      <c r="K27" s="136">
        <f>621818716.6+370538268.85+-366797412.87+2468300821.58+-171157.18+-2468487652.95-2173587.97</f>
        <v>623027996.06000018</v>
      </c>
      <c r="L27" s="136">
        <f>3374955+132.76+320.35</f>
        <v>3375408.11</v>
      </c>
      <c r="M27" s="136">
        <v>0</v>
      </c>
      <c r="N27" s="136">
        <v>0</v>
      </c>
      <c r="O27" s="136"/>
      <c r="P27" s="136">
        <f t="shared" si="2"/>
        <v>626403404.1700002</v>
      </c>
      <c r="Q27" s="137">
        <f t="shared" ref="Q27:Q32" si="10">P27/$P$33</f>
        <v>0.38742966084732516</v>
      </c>
      <c r="R27" s="137"/>
      <c r="S27" s="136">
        <f t="shared" ref="S27:S32" si="11">G27-P27</f>
        <v>1359808417.1100001</v>
      </c>
      <c r="T27" s="136"/>
      <c r="U27" s="137">
        <f t="shared" ref="U27:U32" si="12">G27/P27</f>
        <v>3.1708190090565989</v>
      </c>
      <c r="V27" s="136"/>
      <c r="W27" s="137">
        <f t="shared" si="6"/>
        <v>2.1708190090565989</v>
      </c>
    </row>
    <row r="28" spans="1:23" s="135" customFormat="1" ht="24.75" customHeight="1" x14ac:dyDescent="0.4">
      <c r="A28" s="135" t="s">
        <v>251</v>
      </c>
      <c r="B28" s="136">
        <f>'CNT (from FS Analysis)'!N128+'CNT (from FS Analysis)'!N140+'CNT (from FS Analysis)'!N145+'CNT (from FS Analysis)'!N149+'CNT (from FS Analysis)'!N153+'CNT (from FS Analysis)'!N156+'CNT (from FS Analysis)'!N159</f>
        <v>7845144.3699999992</v>
      </c>
      <c r="C28" s="136">
        <f>BPM!F19</f>
        <v>152239.9</v>
      </c>
      <c r="D28" s="136">
        <v>0</v>
      </c>
      <c r="E28" s="136">
        <v>0</v>
      </c>
      <c r="F28" s="136">
        <v>0</v>
      </c>
      <c r="G28" s="136">
        <f t="shared" si="0"/>
        <v>7997384.2699999996</v>
      </c>
      <c r="H28" s="137">
        <f t="shared" si="9"/>
        <v>3.2193705060937277E-3</v>
      </c>
      <c r="I28" s="137"/>
      <c r="J28" s="135" t="s">
        <v>251</v>
      </c>
      <c r="K28" s="136">
        <f>11564562.15+5780020+-5862475+2536576.67+-2024.99+-2562309+-45239.14</f>
        <v>11409110.689999998</v>
      </c>
      <c r="L28" s="136">
        <f>829198.76+1005.5</f>
        <v>830204.26</v>
      </c>
      <c r="M28" s="136">
        <v>0</v>
      </c>
      <c r="N28" s="136">
        <v>0</v>
      </c>
      <c r="O28" s="136"/>
      <c r="P28" s="136">
        <f t="shared" si="2"/>
        <v>12239314.949999997</v>
      </c>
      <c r="Q28" s="137">
        <f t="shared" si="10"/>
        <v>7.5699997932884705E-3</v>
      </c>
      <c r="R28" s="137"/>
      <c r="S28" s="136">
        <f>G28-P28</f>
        <v>-4241930.6799999978</v>
      </c>
      <c r="T28" s="136"/>
      <c r="U28" s="137">
        <f t="shared" si="12"/>
        <v>0.65341763837852718</v>
      </c>
      <c r="V28" s="136"/>
      <c r="W28" s="137">
        <f t="shared" si="6"/>
        <v>-0.34658236162147282</v>
      </c>
    </row>
    <row r="29" spans="1:23" s="135" customFormat="1" ht="24.75" customHeight="1" x14ac:dyDescent="0.4">
      <c r="A29" s="135" t="s">
        <v>252</v>
      </c>
      <c r="B29" s="136">
        <f>'CNT (from FS Analysis)'!N129+'CNT (from FS Analysis)'!N150+'CNT (from FS Analysis)'!N154+'CNT (from FS Analysis)'!N160+'CNT (from FS Analysis)'!N161</f>
        <v>8995614.5300000012</v>
      </c>
      <c r="C29" s="136">
        <f>0</f>
        <v>0</v>
      </c>
      <c r="D29" s="136">
        <v>0</v>
      </c>
      <c r="E29" s="136">
        <v>0</v>
      </c>
      <c r="F29" s="136">
        <v>0</v>
      </c>
      <c r="G29" s="136">
        <f t="shared" si="0"/>
        <v>8995614.5300000012</v>
      </c>
      <c r="H29" s="137">
        <f t="shared" si="9"/>
        <v>3.6212110265485841E-3</v>
      </c>
      <c r="I29" s="137"/>
      <c r="J29" s="135" t="s">
        <v>252</v>
      </c>
      <c r="K29" s="136">
        <f>2174412.46+23070+-22710+1815588.84+0.02+847894.24+-2151116.5</f>
        <v>2687139.0599999996</v>
      </c>
      <c r="L29" s="136">
        <f>11092.65-65</f>
        <v>11027.65</v>
      </c>
      <c r="M29" s="136">
        <v>0</v>
      </c>
      <c r="N29" s="136">
        <v>0</v>
      </c>
      <c r="O29" s="136"/>
      <c r="P29" s="136">
        <f t="shared" si="2"/>
        <v>2698166.7099999995</v>
      </c>
      <c r="Q29" s="137">
        <f t="shared" si="10"/>
        <v>1.6688124719723659E-3</v>
      </c>
      <c r="R29" s="137"/>
      <c r="S29" s="136">
        <f t="shared" si="11"/>
        <v>6297447.8200000022</v>
      </c>
      <c r="T29" s="136"/>
      <c r="U29" s="137">
        <f t="shared" si="12"/>
        <v>3.3339728403957674</v>
      </c>
      <c r="V29" s="136"/>
      <c r="W29" s="137">
        <f t="shared" si="6"/>
        <v>2.3339728403957674</v>
      </c>
    </row>
    <row r="30" spans="1:23" s="135" customFormat="1" ht="24.75" customHeight="1" x14ac:dyDescent="0.4">
      <c r="A30" s="135" t="s">
        <v>253</v>
      </c>
      <c r="B30" s="136">
        <f>'CNT (from FS Analysis)'!N132</f>
        <v>1635001.56</v>
      </c>
      <c r="C30" s="136">
        <f>0</f>
        <v>0</v>
      </c>
      <c r="D30" s="136">
        <v>0</v>
      </c>
      <c r="E30" s="136">
        <v>0</v>
      </c>
      <c r="F30" s="136">
        <v>0</v>
      </c>
      <c r="G30" s="136">
        <f t="shared" si="0"/>
        <v>1635001.56</v>
      </c>
      <c r="H30" s="137">
        <f t="shared" si="9"/>
        <v>6.5817467586576719E-4</v>
      </c>
      <c r="I30" s="137"/>
      <c r="J30" s="135" t="s">
        <v>253</v>
      </c>
      <c r="K30" s="136">
        <f>809843.23+21000</f>
        <v>830843.23</v>
      </c>
      <c r="L30" s="136">
        <v>14727</v>
      </c>
      <c r="M30" s="136">
        <v>0</v>
      </c>
      <c r="N30" s="136">
        <v>0</v>
      </c>
      <c r="O30" s="136"/>
      <c r="P30" s="136">
        <f t="shared" si="2"/>
        <v>845570.23</v>
      </c>
      <c r="Q30" s="137">
        <f t="shared" si="10"/>
        <v>5.229840471023164E-4</v>
      </c>
      <c r="R30" s="137"/>
      <c r="S30" s="136">
        <f t="shared" si="11"/>
        <v>789431.33000000007</v>
      </c>
      <c r="T30" s="136"/>
      <c r="U30" s="137">
        <f t="shared" si="12"/>
        <v>1.9336082350013672</v>
      </c>
      <c r="V30" s="136"/>
      <c r="W30" s="137">
        <f t="shared" si="6"/>
        <v>0.93360823500136725</v>
      </c>
    </row>
    <row r="31" spans="1:23" s="135" customFormat="1" ht="24.75" customHeight="1" x14ac:dyDescent="0.4">
      <c r="A31" s="135" t="s">
        <v>254</v>
      </c>
      <c r="B31" s="136">
        <f>'CNT (from FS Analysis)'!N177+'CNT (from FS Analysis)'!N178</f>
        <v>180989.71000000002</v>
      </c>
      <c r="C31" s="136">
        <f>0</f>
        <v>0</v>
      </c>
      <c r="D31" s="136">
        <v>0</v>
      </c>
      <c r="E31" s="136">
        <v>0</v>
      </c>
      <c r="F31" s="136">
        <v>0</v>
      </c>
      <c r="G31" s="136">
        <f t="shared" si="0"/>
        <v>180989.71000000002</v>
      </c>
      <c r="H31" s="137">
        <f t="shared" si="9"/>
        <v>7.2857938872112891E-5</v>
      </c>
      <c r="I31" s="137"/>
      <c r="J31" s="135" t="s">
        <v>254</v>
      </c>
      <c r="K31" s="136">
        <v>0</v>
      </c>
      <c r="L31" s="136">
        <v>0</v>
      </c>
      <c r="M31" s="136">
        <v>0</v>
      </c>
      <c r="N31" s="136">
        <v>0</v>
      </c>
      <c r="O31" s="136"/>
      <c r="P31" s="136">
        <f t="shared" si="2"/>
        <v>0</v>
      </c>
      <c r="Q31" s="137">
        <f t="shared" si="10"/>
        <v>0</v>
      </c>
      <c r="R31" s="137"/>
      <c r="S31" s="136">
        <f t="shared" si="11"/>
        <v>180989.71000000002</v>
      </c>
      <c r="T31" s="136"/>
      <c r="U31" s="146">
        <v>0</v>
      </c>
      <c r="V31" s="136"/>
      <c r="W31" s="146">
        <v>0</v>
      </c>
    </row>
    <row r="32" spans="1:23" s="135" customFormat="1" ht="24.75" customHeight="1" x14ac:dyDescent="0.4">
      <c r="A32" s="135" t="s">
        <v>255</v>
      </c>
      <c r="B32" s="136">
        <f>'CNT (from FS Analysis)'!N124+'CNT (from FS Analysis)'!N131+'CNT (from FS Analysis)'!N133+'CNT (from FS Analysis)'!N134+'CNT (from FS Analysis)'!N136+'CNT (from FS Analysis)'!N137+'CNT (from FS Analysis)'!N162+'CNT (from FS Analysis)'!N163+'CNT (from FS Analysis)'!N164+'CNT (from FS Analysis)'!N166+'CNT (from FS Analysis)'!N167+'CNT (from FS Analysis)'!N168+'CNT (from FS Analysis)'!N169+'CNT (from FS Analysis)'!N170+'CNT (from FS Analysis)'!N171+'CNT (from FS Analysis)'!N172+'CNT (from FS Analysis)'!N173+'CNT (from FS Analysis)'!N174+'CNT (from FS Analysis)'!N175+'CNT (from FS Analysis)'!N176+'CNT (from FS Analysis)'!N165</f>
        <v>6079856.2799999993</v>
      </c>
      <c r="C32" s="136">
        <f>BPM!F20+BPM!F21+BPM!F22+BPM!F25+BPM!F26</f>
        <v>744508.17</v>
      </c>
      <c r="D32" s="136">
        <f>DEP!F20</f>
        <v>105645.4</v>
      </c>
      <c r="E32" s="136">
        <v>0</v>
      </c>
      <c r="F32" s="136">
        <f>'BSC (Dome)'!G18</f>
        <v>1068.5899999999999</v>
      </c>
      <c r="G32" s="136">
        <f t="shared" si="0"/>
        <v>6931078.4399999995</v>
      </c>
      <c r="H32" s="137">
        <f t="shared" si="9"/>
        <v>2.7901259651686243E-3</v>
      </c>
      <c r="I32" s="137"/>
      <c r="J32" s="135" t="s">
        <v>255</v>
      </c>
      <c r="K32" s="136">
        <f>-5137.54+597987.22+603163.23+12267.13+1250+25+26661.71+148037.84+4524247.58+97879.09+3807+14411.83+61816.88+229.56+-1268.46+-3775.61</f>
        <v>6081602.459999999</v>
      </c>
      <c r="L32" s="136">
        <f>39891.44+80672.35+-2954.9+638.03+820.8+255072.86+140870.24</f>
        <v>515010.82</v>
      </c>
      <c r="M32" s="136">
        <f>93871.66</f>
        <v>93871.66</v>
      </c>
      <c r="N32" s="136">
        <v>0</v>
      </c>
      <c r="O32" s="136">
        <v>0</v>
      </c>
      <c r="P32" s="136">
        <f t="shared" si="2"/>
        <v>6690484.9399999995</v>
      </c>
      <c r="Q32" s="137">
        <f t="shared" si="10"/>
        <v>4.1380559140525783E-3</v>
      </c>
      <c r="R32" s="137"/>
      <c r="S32" s="136">
        <f t="shared" si="11"/>
        <v>240593.5</v>
      </c>
      <c r="T32" s="136"/>
      <c r="U32" s="137">
        <f t="shared" si="12"/>
        <v>1.0359605472783562</v>
      </c>
      <c r="V32" s="136"/>
      <c r="W32" s="137">
        <f t="shared" si="6"/>
        <v>3.5960547278356181E-2</v>
      </c>
    </row>
    <row r="33" spans="1:23" s="135" customFormat="1" ht="24.75" customHeight="1" x14ac:dyDescent="0.4">
      <c r="A33" s="145" t="s">
        <v>257</v>
      </c>
      <c r="B33" s="147">
        <f>SUM(B26:B32)</f>
        <v>2463136303.0800004</v>
      </c>
      <c r="C33" s="147">
        <f t="shared" ref="C33:F33" si="13">SUM(C26:C32)</f>
        <v>20902332.110000003</v>
      </c>
      <c r="D33" s="147">
        <f t="shared" si="13"/>
        <v>105645.4</v>
      </c>
      <c r="E33" s="147">
        <f t="shared" si="13"/>
        <v>0</v>
      </c>
      <c r="F33" s="147">
        <f t="shared" si="13"/>
        <v>1068.5899999999999</v>
      </c>
      <c r="G33" s="147">
        <f t="shared" si="0"/>
        <v>2484145349.1800008</v>
      </c>
      <c r="H33" s="148">
        <f>SUM(H26:H32)</f>
        <v>0.99999999999999978</v>
      </c>
      <c r="I33" s="149"/>
      <c r="J33" s="145" t="s">
        <v>257</v>
      </c>
      <c r="K33" s="147">
        <f>SUM(K26:K32)</f>
        <v>1603004126.4400001</v>
      </c>
      <c r="L33" s="147">
        <f t="shared" ref="L33:O33" si="14">SUM(L26:L32)</f>
        <v>13720401.399999999</v>
      </c>
      <c r="M33" s="147">
        <f t="shared" si="14"/>
        <v>93871.66</v>
      </c>
      <c r="N33" s="147">
        <f t="shared" si="14"/>
        <v>0</v>
      </c>
      <c r="O33" s="147">
        <f t="shared" si="14"/>
        <v>0</v>
      </c>
      <c r="P33" s="147">
        <f t="shared" si="2"/>
        <v>1616818399.5000002</v>
      </c>
      <c r="Q33" s="148">
        <f>SUM(Q26:Q32)</f>
        <v>0.99999999999999967</v>
      </c>
      <c r="R33" s="149"/>
      <c r="S33" s="147">
        <f>SUM(S26:S32)</f>
        <v>867326949.68000054</v>
      </c>
      <c r="T33" s="147"/>
      <c r="U33" s="148">
        <f>G33/P33</f>
        <v>1.5364405488880017</v>
      </c>
      <c r="V33" s="147"/>
      <c r="W33" s="148">
        <f t="shared" si="6"/>
        <v>0.53644054888800174</v>
      </c>
    </row>
    <row r="34" spans="1:23" s="135" customFormat="1" ht="24.75" customHeight="1" x14ac:dyDescent="0.4">
      <c r="B34" s="136"/>
      <c r="C34" s="136"/>
      <c r="D34" s="136"/>
      <c r="E34" s="136"/>
      <c r="F34" s="136"/>
      <c r="G34" s="136">
        <f t="shared" si="0"/>
        <v>0</v>
      </c>
      <c r="K34" s="136"/>
      <c r="L34" s="136"/>
      <c r="M34" s="136"/>
      <c r="N34" s="136"/>
      <c r="O34" s="136"/>
      <c r="P34" s="136">
        <f t="shared" si="2"/>
        <v>0</v>
      </c>
      <c r="S34" s="136"/>
      <c r="T34" s="136"/>
      <c r="U34" s="137"/>
      <c r="V34" s="136"/>
      <c r="W34" s="137"/>
    </row>
    <row r="35" spans="1:23" s="135" customFormat="1" ht="24.75" customHeight="1" thickBot="1" x14ac:dyDescent="0.45">
      <c r="A35" s="145" t="s">
        <v>243</v>
      </c>
      <c r="B35" s="151">
        <f>B23-B33</f>
        <v>2569557.3699994087</v>
      </c>
      <c r="C35" s="151">
        <f t="shared" ref="C35:F35" si="15">C23-C33</f>
        <v>286891.02999999374</v>
      </c>
      <c r="D35" s="151">
        <f t="shared" si="15"/>
        <v>530530.65</v>
      </c>
      <c r="E35" s="151">
        <f t="shared" si="15"/>
        <v>0</v>
      </c>
      <c r="F35" s="151">
        <f t="shared" si="15"/>
        <v>475854.61000000004</v>
      </c>
      <c r="G35" s="151">
        <f t="shared" si="0"/>
        <v>3862833.6599994022</v>
      </c>
      <c r="J35" s="145" t="s">
        <v>243</v>
      </c>
      <c r="K35" s="151">
        <f>K23-K33</f>
        <v>1804265.3699998856</v>
      </c>
      <c r="L35" s="151">
        <f t="shared" ref="L35:O35" si="16">L23-L33</f>
        <v>206106.5100000035</v>
      </c>
      <c r="M35" s="151">
        <f t="shared" si="16"/>
        <v>719570.91999999993</v>
      </c>
      <c r="N35" s="151">
        <f t="shared" si="16"/>
        <v>0</v>
      </c>
      <c r="O35" s="151">
        <f t="shared" si="16"/>
        <v>542885.54</v>
      </c>
      <c r="P35" s="151">
        <f t="shared" si="2"/>
        <v>3272828.339999889</v>
      </c>
      <c r="S35" s="151">
        <f>G35-P35</f>
        <v>590005.31999951322</v>
      </c>
      <c r="T35" s="151"/>
      <c r="U35" s="152">
        <f>G35/P35</f>
        <v>1.1802738361766731</v>
      </c>
      <c r="V35" s="151"/>
      <c r="W35" s="152">
        <f t="shared" si="6"/>
        <v>0.18027383617667314</v>
      </c>
    </row>
    <row r="36" spans="1:23" s="135" customFormat="1" ht="24.75" customHeight="1" x14ac:dyDescent="0.4">
      <c r="B36" s="136"/>
      <c r="C36" s="136"/>
      <c r="D36" s="136"/>
      <c r="E36" s="136"/>
      <c r="F36" s="136"/>
      <c r="G36" s="136">
        <f t="shared" si="0"/>
        <v>0</v>
      </c>
      <c r="K36" s="136"/>
      <c r="L36" s="136"/>
      <c r="M36" s="136"/>
      <c r="N36" s="136"/>
      <c r="O36" s="136"/>
      <c r="P36" s="136">
        <f t="shared" si="2"/>
        <v>0</v>
      </c>
      <c r="S36" s="136"/>
      <c r="T36" s="136"/>
      <c r="U36" s="150"/>
      <c r="V36" s="136"/>
      <c r="W36" s="150"/>
    </row>
    <row r="37" spans="1:23" s="135" customFormat="1" ht="24.75" customHeight="1" x14ac:dyDescent="0.4">
      <c r="A37" s="145" t="s">
        <v>241</v>
      </c>
      <c r="B37" s="136"/>
      <c r="C37" s="136"/>
      <c r="D37" s="136"/>
      <c r="E37" s="136"/>
      <c r="F37" s="136"/>
      <c r="G37" s="136">
        <f t="shared" si="0"/>
        <v>0</v>
      </c>
      <c r="J37" s="145" t="s">
        <v>241</v>
      </c>
      <c r="K37" s="136"/>
      <c r="L37" s="136"/>
      <c r="M37" s="136"/>
      <c r="N37" s="136"/>
      <c r="O37" s="136"/>
      <c r="P37" s="136">
        <f t="shared" si="2"/>
        <v>0</v>
      </c>
      <c r="S37" s="136"/>
      <c r="T37" s="136"/>
      <c r="U37" s="150"/>
      <c r="V37" s="136"/>
      <c r="W37" s="150"/>
    </row>
    <row r="38" spans="1:23" s="135" customFormat="1" ht="24.75" customHeight="1" x14ac:dyDescent="0.4">
      <c r="B38" s="136"/>
      <c r="C38" s="136"/>
      <c r="D38" s="136"/>
      <c r="E38" s="136"/>
      <c r="F38" s="136"/>
      <c r="G38" s="136">
        <f t="shared" si="0"/>
        <v>0</v>
      </c>
      <c r="K38" s="136"/>
      <c r="L38" s="136"/>
      <c r="M38" s="136"/>
      <c r="N38" s="136"/>
      <c r="O38" s="136"/>
      <c r="P38" s="136">
        <f t="shared" si="2"/>
        <v>0</v>
      </c>
      <c r="S38" s="136"/>
      <c r="T38" s="136"/>
      <c r="U38" s="150"/>
      <c r="V38" s="136"/>
      <c r="W38" s="150"/>
    </row>
    <row r="39" spans="1:23" s="135" customFormat="1" ht="24.75" customHeight="1" x14ac:dyDescent="0.4">
      <c r="A39" s="145" t="s">
        <v>258</v>
      </c>
      <c r="B39" s="136"/>
      <c r="C39" s="136"/>
      <c r="D39" s="136"/>
      <c r="E39" s="136"/>
      <c r="F39" s="136"/>
      <c r="G39" s="136">
        <f t="shared" si="0"/>
        <v>0</v>
      </c>
      <c r="J39" s="145" t="s">
        <v>258</v>
      </c>
      <c r="K39" s="136"/>
      <c r="L39" s="136"/>
      <c r="M39" s="136"/>
      <c r="N39" s="136"/>
      <c r="O39" s="136"/>
      <c r="P39" s="136">
        <f t="shared" si="2"/>
        <v>0</v>
      </c>
      <c r="S39" s="136"/>
      <c r="T39" s="136"/>
      <c r="U39" s="150"/>
      <c r="V39" s="136"/>
      <c r="W39" s="150"/>
    </row>
    <row r="40" spans="1:23" s="135" customFormat="1" ht="24.75" customHeight="1" x14ac:dyDescent="0.4">
      <c r="A40" s="135" t="s">
        <v>259</v>
      </c>
      <c r="B40" s="136">
        <f>'CNT (from FS Analysis)'!N182</f>
        <v>1158359.6400000001</v>
      </c>
      <c r="C40" s="136">
        <v>0</v>
      </c>
      <c r="D40" s="136">
        <f>DEP!F26</f>
        <v>33364.75</v>
      </c>
      <c r="E40" s="136">
        <v>0</v>
      </c>
      <c r="F40" s="136">
        <f>'BSC (Dome)'!G24+'BSC (Dome)'!G31</f>
        <v>132613.82</v>
      </c>
      <c r="G40" s="136">
        <f t="shared" si="0"/>
        <v>1324338.2100000002</v>
      </c>
      <c r="H40" s="137">
        <f>G40/$G$49</f>
        <v>0.78609559352977532</v>
      </c>
      <c r="I40" s="137"/>
      <c r="J40" s="135" t="s">
        <v>259</v>
      </c>
      <c r="K40" s="136">
        <v>1391327.62</v>
      </c>
      <c r="L40" s="136">
        <v>0</v>
      </c>
      <c r="M40" s="136">
        <v>70543.679999999993</v>
      </c>
      <c r="N40" s="136">
        <v>0</v>
      </c>
      <c r="O40" s="136">
        <f>99892.17+38473</f>
        <v>138365.16999999998</v>
      </c>
      <c r="P40" s="136">
        <f t="shared" si="2"/>
        <v>1600236.47</v>
      </c>
      <c r="Q40" s="137">
        <f>P40/$P$49</f>
        <v>0.77669113335204243</v>
      </c>
      <c r="R40" s="137"/>
      <c r="S40" s="136">
        <f>G40-P40</f>
        <v>-275898.25999999978</v>
      </c>
      <c r="T40" s="136"/>
      <c r="U40" s="137">
        <f>G40/P40</f>
        <v>0.82758906875806937</v>
      </c>
      <c r="V40" s="136"/>
      <c r="W40" s="137">
        <f t="shared" si="6"/>
        <v>-0.17241093124193063</v>
      </c>
    </row>
    <row r="41" spans="1:23" s="135" customFormat="1" ht="24.75" customHeight="1" x14ac:dyDescent="0.4">
      <c r="A41" s="135" t="s">
        <v>260</v>
      </c>
      <c r="B41" s="136">
        <f>'CNT (from FS Analysis)'!N184</f>
        <v>12264</v>
      </c>
      <c r="C41" s="136">
        <v>0</v>
      </c>
      <c r="D41" s="136">
        <v>0</v>
      </c>
      <c r="E41" s="136">
        <v>0</v>
      </c>
      <c r="F41" s="136">
        <v>0</v>
      </c>
      <c r="G41" s="136">
        <f t="shared" si="0"/>
        <v>12264</v>
      </c>
      <c r="H41" s="137">
        <f t="shared" ref="H41:H48" si="17">G41/$G$49</f>
        <v>7.2796180660294942E-3</v>
      </c>
      <c r="I41" s="137"/>
      <c r="J41" s="135" t="s">
        <v>260</v>
      </c>
      <c r="K41" s="136">
        <v>10549</v>
      </c>
      <c r="L41" s="136">
        <v>0</v>
      </c>
      <c r="M41" s="136">
        <v>0</v>
      </c>
      <c r="N41" s="136">
        <v>0</v>
      </c>
      <c r="O41" s="136">
        <v>0</v>
      </c>
      <c r="P41" s="136">
        <f t="shared" si="2"/>
        <v>10549</v>
      </c>
      <c r="Q41" s="137">
        <f t="shared" ref="Q41:Q48" si="18">P41/$P$49</f>
        <v>5.120065014972878E-3</v>
      </c>
      <c r="R41" s="137"/>
      <c r="S41" s="136">
        <f t="shared" ref="S41:S48" si="19">G41-P41</f>
        <v>1715</v>
      </c>
      <c r="T41" s="136"/>
      <c r="U41" s="137">
        <f t="shared" ref="U41:U48" si="20">G41/P41</f>
        <v>1.1625746516257465</v>
      </c>
      <c r="V41" s="136"/>
      <c r="W41" s="137">
        <f t="shared" si="6"/>
        <v>0.16257465162574647</v>
      </c>
    </row>
    <row r="42" spans="1:23" s="135" customFormat="1" ht="24.75" customHeight="1" x14ac:dyDescent="0.4">
      <c r="A42" s="135" t="s">
        <v>261</v>
      </c>
      <c r="B42" s="136">
        <f>'CNT (from FS Analysis)'!N185</f>
        <v>112268.95999999999</v>
      </c>
      <c r="C42" s="136">
        <v>0</v>
      </c>
      <c r="D42" s="136">
        <f>DEP!F27</f>
        <v>4707.05</v>
      </c>
      <c r="E42" s="136">
        <v>0</v>
      </c>
      <c r="F42" s="136">
        <f>'BSC (Dome)'!G25</f>
        <v>8556.15</v>
      </c>
      <c r="G42" s="136">
        <f t="shared" si="0"/>
        <v>125532.15999999999</v>
      </c>
      <c r="H42" s="137">
        <f t="shared" si="17"/>
        <v>7.4512897896583899E-2</v>
      </c>
      <c r="I42" s="137"/>
      <c r="J42" s="135" t="s">
        <v>261</v>
      </c>
      <c r="K42" s="136">
        <v>123939.43</v>
      </c>
      <c r="L42" s="136">
        <v>0</v>
      </c>
      <c r="M42" s="136">
        <v>6002.71</v>
      </c>
      <c r="N42" s="136">
        <v>0</v>
      </c>
      <c r="O42" s="136">
        <v>8951.52</v>
      </c>
      <c r="P42" s="136">
        <f t="shared" si="2"/>
        <v>138893.66</v>
      </c>
      <c r="Q42" s="137">
        <f t="shared" si="18"/>
        <v>6.7413458087737022E-2</v>
      </c>
      <c r="R42" s="137"/>
      <c r="S42" s="136">
        <f t="shared" si="19"/>
        <v>-13361.500000000015</v>
      </c>
      <c r="T42" s="136"/>
      <c r="U42" s="137">
        <f t="shared" si="20"/>
        <v>0.90380050464506434</v>
      </c>
      <c r="V42" s="136"/>
      <c r="W42" s="137">
        <f t="shared" si="6"/>
        <v>-9.619949535493566E-2</v>
      </c>
    </row>
    <row r="43" spans="1:23" s="135" customFormat="1" ht="24.75" customHeight="1" x14ac:dyDescent="0.4">
      <c r="A43" s="135" t="s">
        <v>262</v>
      </c>
      <c r="B43" s="136">
        <f>'CNT (from FS Analysis)'!N186</f>
        <v>100649.5</v>
      </c>
      <c r="C43" s="136">
        <v>0</v>
      </c>
      <c r="D43" s="136">
        <f>DEP!F28</f>
        <v>12774.59</v>
      </c>
      <c r="E43" s="136">
        <v>0</v>
      </c>
      <c r="F43" s="136">
        <f>'BSC (Dome)'!G26</f>
        <v>20914.45</v>
      </c>
      <c r="G43" s="136">
        <f t="shared" si="0"/>
        <v>134338.54</v>
      </c>
      <c r="H43" s="137">
        <f t="shared" si="17"/>
        <v>7.974015514905626E-2</v>
      </c>
      <c r="I43" s="137"/>
      <c r="J43" s="135" t="s">
        <v>262</v>
      </c>
      <c r="K43" s="136">
        <v>156672.68</v>
      </c>
      <c r="L43" s="136">
        <v>0</v>
      </c>
      <c r="M43" s="136">
        <v>21040.77</v>
      </c>
      <c r="N43" s="136">
        <v>0</v>
      </c>
      <c r="O43" s="136">
        <v>14717.05</v>
      </c>
      <c r="P43" s="136">
        <f t="shared" si="2"/>
        <v>192430.49999999997</v>
      </c>
      <c r="Q43" s="137">
        <f t="shared" si="18"/>
        <v>9.3398110803274079E-2</v>
      </c>
      <c r="R43" s="137"/>
      <c r="S43" s="136">
        <f t="shared" si="19"/>
        <v>-58091.959999999963</v>
      </c>
      <c r="T43" s="136"/>
      <c r="U43" s="137">
        <f t="shared" si="20"/>
        <v>0.69811459202153514</v>
      </c>
      <c r="V43" s="136"/>
      <c r="W43" s="137">
        <f t="shared" si="6"/>
        <v>-0.30188540797846486</v>
      </c>
    </row>
    <row r="44" spans="1:23" s="135" customFormat="1" ht="24.75" customHeight="1" x14ac:dyDescent="0.4">
      <c r="A44" s="135" t="s">
        <v>263</v>
      </c>
      <c r="B44" s="136">
        <f>'CNT (from FS Analysis)'!N187</f>
        <v>15820.61</v>
      </c>
      <c r="C44" s="136">
        <v>0</v>
      </c>
      <c r="D44" s="136">
        <f>DEP!F29</f>
        <v>867.92</v>
      </c>
      <c r="E44" s="136">
        <v>0</v>
      </c>
      <c r="F44" s="136">
        <f>'BSC (Dome)'!G27</f>
        <v>1088.3700000000001</v>
      </c>
      <c r="G44" s="136">
        <f t="shared" si="0"/>
        <v>17776.899999999998</v>
      </c>
      <c r="H44" s="137">
        <f t="shared" si="17"/>
        <v>1.0551944096379624E-2</v>
      </c>
      <c r="I44" s="137"/>
      <c r="J44" s="135" t="s">
        <v>263</v>
      </c>
      <c r="K44" s="136">
        <v>26754.42</v>
      </c>
      <c r="L44" s="136">
        <v>0</v>
      </c>
      <c r="M44" s="136">
        <v>2827.73</v>
      </c>
      <c r="N44" s="136">
        <v>0</v>
      </c>
      <c r="O44" s="136">
        <v>0</v>
      </c>
      <c r="P44" s="136">
        <f t="shared" si="2"/>
        <v>29582.149999999998</v>
      </c>
      <c r="Q44" s="137">
        <f t="shared" si="18"/>
        <v>1.4357998984043979E-2</v>
      </c>
      <c r="R44" s="137"/>
      <c r="S44" s="136">
        <f t="shared" si="19"/>
        <v>-11805.25</v>
      </c>
      <c r="T44" s="136"/>
      <c r="U44" s="137">
        <f t="shared" si="20"/>
        <v>0.60093333310797215</v>
      </c>
      <c r="V44" s="136"/>
      <c r="W44" s="137">
        <f t="shared" si="6"/>
        <v>-0.39906666689202785</v>
      </c>
    </row>
    <row r="45" spans="1:23" s="135" customFormat="1" ht="24.75" customHeight="1" x14ac:dyDescent="0.4">
      <c r="A45" s="135" t="s">
        <v>264</v>
      </c>
      <c r="B45" s="136">
        <f>'CNT (from FS Analysis)'!N188</f>
        <v>36668</v>
      </c>
      <c r="C45" s="136">
        <v>0</v>
      </c>
      <c r="D45" s="136">
        <f>DEP!F30</f>
        <v>1600</v>
      </c>
      <c r="E45" s="136">
        <v>0</v>
      </c>
      <c r="F45" s="136">
        <f>'BSC (Dome)'!G29</f>
        <v>1800</v>
      </c>
      <c r="G45" s="136">
        <f t="shared" si="0"/>
        <v>40068</v>
      </c>
      <c r="H45" s="137">
        <f t="shared" si="17"/>
        <v>2.3783409708877185E-2</v>
      </c>
      <c r="I45" s="137"/>
      <c r="J45" s="135" t="s">
        <v>264</v>
      </c>
      <c r="K45" s="136">
        <v>45872</v>
      </c>
      <c r="L45" s="136">
        <v>0</v>
      </c>
      <c r="M45" s="136">
        <v>1820</v>
      </c>
      <c r="N45" s="136">
        <v>0</v>
      </c>
      <c r="O45" s="136">
        <v>9292</v>
      </c>
      <c r="P45" s="136">
        <f t="shared" si="2"/>
        <v>56984</v>
      </c>
      <c r="Q45" s="137">
        <f t="shared" si="18"/>
        <v>2.7657767069221205E-2</v>
      </c>
      <c r="R45" s="137"/>
      <c r="S45" s="136">
        <f t="shared" si="19"/>
        <v>-16916</v>
      </c>
      <c r="T45" s="136"/>
      <c r="U45" s="137">
        <f t="shared" si="20"/>
        <v>0.70314474238382707</v>
      </c>
      <c r="V45" s="136"/>
      <c r="W45" s="137">
        <f t="shared" si="6"/>
        <v>-0.29685525761617293</v>
      </c>
    </row>
    <row r="46" spans="1:23" s="135" customFormat="1" ht="24.75" customHeight="1" x14ac:dyDescent="0.4">
      <c r="A46" s="135" t="s">
        <v>346</v>
      </c>
      <c r="B46" s="136">
        <f>'CNT (from FS Analysis)'!N190+'CNT (from FS Analysis)'!N189</f>
        <v>5488.02</v>
      </c>
      <c r="C46" s="136">
        <v>0</v>
      </c>
      <c r="D46" s="136">
        <f>DEP!F31</f>
        <v>614.91999999999996</v>
      </c>
      <c r="E46" s="136">
        <v>0</v>
      </c>
      <c r="F46" s="136">
        <f>'BSC (Dome)'!G28</f>
        <v>524.81999999999994</v>
      </c>
      <c r="G46" s="136">
        <f t="shared" si="0"/>
        <v>6627.76</v>
      </c>
      <c r="H46" s="137">
        <f t="shared" si="17"/>
        <v>3.9340803517047985E-3</v>
      </c>
      <c r="I46" s="137"/>
      <c r="J46" s="135" t="s">
        <v>346</v>
      </c>
      <c r="K46" s="136">
        <f>733.24+9814.48</f>
        <v>10547.72</v>
      </c>
      <c r="L46" s="136">
        <v>0</v>
      </c>
      <c r="M46" s="136">
        <v>0</v>
      </c>
      <c r="N46" s="136">
        <v>0</v>
      </c>
      <c r="O46" s="136">
        <v>0</v>
      </c>
      <c r="P46" s="136">
        <f t="shared" si="2"/>
        <v>10547.72</v>
      </c>
      <c r="Q46" s="137">
        <f t="shared" si="18"/>
        <v>5.1194437538847025E-3</v>
      </c>
      <c r="R46" s="137"/>
      <c r="S46" s="136">
        <f t="shared" si="19"/>
        <v>-3919.9599999999991</v>
      </c>
      <c r="T46" s="136"/>
      <c r="U46" s="137">
        <f t="shared" si="20"/>
        <v>0.62835949380529632</v>
      </c>
      <c r="V46" s="136"/>
      <c r="W46" s="137">
        <f t="shared" si="6"/>
        <v>-0.37164050619470368</v>
      </c>
    </row>
    <row r="47" spans="1:23" s="135" customFormat="1" ht="24.75" customHeight="1" x14ac:dyDescent="0.4">
      <c r="A47" s="135" t="s">
        <v>265</v>
      </c>
      <c r="B47" s="136">
        <f>'CNT (from FS Analysis)'!N191+'CNT (from FS Analysis)'!N192</f>
        <v>3109.48</v>
      </c>
      <c r="C47" s="136">
        <v>0</v>
      </c>
      <c r="D47" s="136">
        <v>0</v>
      </c>
      <c r="E47" s="136">
        <v>0</v>
      </c>
      <c r="F47" s="136">
        <v>0</v>
      </c>
      <c r="G47" s="136">
        <f t="shared" si="0"/>
        <v>3109.48</v>
      </c>
      <c r="H47" s="137">
        <f t="shared" si="17"/>
        <v>1.8457132080852408E-3</v>
      </c>
      <c r="I47" s="137"/>
      <c r="J47" s="135" t="s">
        <v>265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f t="shared" si="2"/>
        <v>0</v>
      </c>
      <c r="Q47" s="137">
        <f t="shared" si="18"/>
        <v>0</v>
      </c>
      <c r="R47" s="137"/>
      <c r="S47" s="136">
        <f t="shared" si="19"/>
        <v>3109.48</v>
      </c>
      <c r="T47" s="136"/>
      <c r="U47" s="137"/>
      <c r="V47" s="136"/>
      <c r="W47" s="137"/>
    </row>
    <row r="48" spans="1:23" s="135" customFormat="1" ht="24.75" customHeight="1" x14ac:dyDescent="0.4">
      <c r="A48" s="135" t="s">
        <v>281</v>
      </c>
      <c r="B48" s="136">
        <f>'CNT (from FS Analysis)'!N214</f>
        <v>20648.72</v>
      </c>
      <c r="C48" s="136">
        <v>0</v>
      </c>
      <c r="D48" s="136">
        <v>0</v>
      </c>
      <c r="E48" s="136">
        <v>0</v>
      </c>
      <c r="F48" s="136">
        <v>0</v>
      </c>
      <c r="G48" s="136">
        <f t="shared" si="0"/>
        <v>20648.72</v>
      </c>
      <c r="H48" s="137">
        <f t="shared" si="17"/>
        <v>1.2256587993508199E-2</v>
      </c>
      <c r="I48" s="137"/>
      <c r="J48" s="135" t="s">
        <v>281</v>
      </c>
      <c r="K48" s="136">
        <v>21101.9</v>
      </c>
      <c r="L48" s="136">
        <v>0</v>
      </c>
      <c r="M48" s="136">
        <v>0</v>
      </c>
      <c r="N48" s="136">
        <v>0</v>
      </c>
      <c r="O48" s="136">
        <v>0</v>
      </c>
      <c r="P48" s="136">
        <f t="shared" si="2"/>
        <v>21101.9</v>
      </c>
      <c r="Q48" s="137">
        <f t="shared" si="18"/>
        <v>1.0242022934823793E-2</v>
      </c>
      <c r="R48" s="137"/>
      <c r="S48" s="136">
        <f t="shared" si="19"/>
        <v>-453.18000000000029</v>
      </c>
      <c r="T48" s="136"/>
      <c r="U48" s="137">
        <f t="shared" si="20"/>
        <v>0.97852420872054169</v>
      </c>
      <c r="V48" s="136"/>
      <c r="W48" s="137">
        <f t="shared" si="6"/>
        <v>-2.1475791279458312E-2</v>
      </c>
    </row>
    <row r="49" spans="1:23" s="135" customFormat="1" ht="24.75" customHeight="1" x14ac:dyDescent="0.4">
      <c r="A49" s="145" t="s">
        <v>266</v>
      </c>
      <c r="B49" s="147">
        <f>SUM(B40:B48)</f>
        <v>1465276.9300000002</v>
      </c>
      <c r="C49" s="147">
        <f>SUM(C40:C48)</f>
        <v>0</v>
      </c>
      <c r="D49" s="147">
        <f>SUM(D40:D48)</f>
        <v>53929.229999999996</v>
      </c>
      <c r="E49" s="147">
        <f>SUM(E40:E48)</f>
        <v>0</v>
      </c>
      <c r="F49" s="147">
        <f>SUM(F40:F48)</f>
        <v>165497.61000000002</v>
      </c>
      <c r="G49" s="147">
        <f t="shared" si="0"/>
        <v>1684703.7700000003</v>
      </c>
      <c r="H49" s="148">
        <f>SUM(H40:H48)</f>
        <v>1</v>
      </c>
      <c r="I49" s="149"/>
      <c r="J49" s="145" t="s">
        <v>266</v>
      </c>
      <c r="K49" s="147">
        <f>SUM(K40:K48)</f>
        <v>1786764.7699999998</v>
      </c>
      <c r="L49" s="147">
        <f>SUM(L40:L48)</f>
        <v>0</v>
      </c>
      <c r="M49" s="147">
        <f>SUM(M40:M48)</f>
        <v>102234.89</v>
      </c>
      <c r="N49" s="147">
        <f>SUM(N40:N48)</f>
        <v>0</v>
      </c>
      <c r="O49" s="147">
        <f>SUM(O40:O48)</f>
        <v>171325.73999999996</v>
      </c>
      <c r="P49" s="147">
        <f t="shared" si="2"/>
        <v>2060325.3999999997</v>
      </c>
      <c r="Q49" s="148">
        <f>SUM(Q40:Q48)</f>
        <v>1.0000000000000002</v>
      </c>
      <c r="R49" s="149"/>
      <c r="S49" s="147">
        <f>G49-P49</f>
        <v>-375621.62999999942</v>
      </c>
      <c r="T49" s="147"/>
      <c r="U49" s="148">
        <f>G49/P49</f>
        <v>0.81768820109677842</v>
      </c>
      <c r="V49" s="147"/>
      <c r="W49" s="148">
        <f t="shared" si="6"/>
        <v>-0.18231179890322158</v>
      </c>
    </row>
    <row r="50" spans="1:23" s="135" customFormat="1" ht="24.75" customHeight="1" x14ac:dyDescent="0.4">
      <c r="B50" s="136"/>
      <c r="C50" s="136"/>
      <c r="D50" s="136"/>
      <c r="E50" s="136"/>
      <c r="F50" s="136"/>
      <c r="G50" s="136"/>
      <c r="K50" s="136"/>
      <c r="L50" s="136"/>
      <c r="M50" s="136"/>
      <c r="N50" s="136"/>
      <c r="O50" s="136"/>
      <c r="P50" s="136"/>
      <c r="S50" s="136"/>
      <c r="T50" s="136"/>
      <c r="U50" s="150"/>
      <c r="V50" s="136"/>
      <c r="W50" s="150"/>
    </row>
    <row r="51" spans="1:23" s="135" customFormat="1" ht="24.75" customHeight="1" x14ac:dyDescent="0.4">
      <c r="A51" s="145" t="s">
        <v>267</v>
      </c>
      <c r="B51" s="136"/>
      <c r="C51" s="136"/>
      <c r="D51" s="136"/>
      <c r="E51" s="136"/>
      <c r="F51" s="136"/>
      <c r="G51" s="136"/>
      <c r="J51" s="145" t="s">
        <v>267</v>
      </c>
      <c r="K51" s="136"/>
      <c r="L51" s="136"/>
      <c r="M51" s="136"/>
      <c r="N51" s="136"/>
      <c r="O51" s="136"/>
      <c r="P51" s="136"/>
      <c r="S51" s="136"/>
      <c r="T51" s="136"/>
      <c r="U51" s="150"/>
      <c r="V51" s="136"/>
      <c r="W51" s="150"/>
    </row>
    <row r="52" spans="1:23" s="135" customFormat="1" ht="24.75" customHeight="1" x14ac:dyDescent="0.4">
      <c r="A52" s="135" t="s">
        <v>268</v>
      </c>
      <c r="B52" s="136">
        <f>'CNT (from FS Analysis)'!N195+'CNT (from FS Analysis)'!N196</f>
        <v>136800</v>
      </c>
      <c r="C52" s="136">
        <v>0</v>
      </c>
      <c r="D52" s="136">
        <f>DEP!F35</f>
        <v>150000</v>
      </c>
      <c r="E52" s="136">
        <v>0</v>
      </c>
      <c r="F52" s="136">
        <f>'BSC (Dome)'!G35</f>
        <v>4000</v>
      </c>
      <c r="G52" s="136">
        <f t="shared" si="0"/>
        <v>290800</v>
      </c>
      <c r="H52" s="137">
        <f t="shared" ref="H52:H73" si="21">G52/$G$74</f>
        <v>0.21454132473897114</v>
      </c>
      <c r="I52" s="137"/>
      <c r="J52" s="135" t="s">
        <v>268</v>
      </c>
      <c r="K52" s="136">
        <f>156800+12500+12500+12500+12500</f>
        <v>206800</v>
      </c>
      <c r="L52" s="136">
        <v>0</v>
      </c>
      <c r="M52" s="136">
        <f>100000+12500+12500+12500+12500</f>
        <v>150000</v>
      </c>
      <c r="N52" s="136">
        <v>0</v>
      </c>
      <c r="O52" s="136">
        <v>4000</v>
      </c>
      <c r="P52" s="136">
        <f t="shared" si="2"/>
        <v>360800</v>
      </c>
      <c r="Q52" s="137">
        <f t="shared" ref="Q52:Q68" si="22">P52/$P$74</f>
        <v>0.32982794545336885</v>
      </c>
      <c r="R52" s="137"/>
      <c r="S52" s="136">
        <f>G52-P52</f>
        <v>-70000</v>
      </c>
      <c r="T52" s="136"/>
      <c r="U52" s="137">
        <f>G52/P52</f>
        <v>0.80598669623059871</v>
      </c>
      <c r="V52" s="136"/>
      <c r="W52" s="137">
        <f t="shared" si="6"/>
        <v>-0.19401330376940129</v>
      </c>
    </row>
    <row r="53" spans="1:23" s="135" customFormat="1" ht="24.75" customHeight="1" x14ac:dyDescent="0.4">
      <c r="A53" s="135" t="s">
        <v>269</v>
      </c>
      <c r="B53" s="136">
        <f>'CNT (from FS Analysis)'!N197</f>
        <v>21521.18</v>
      </c>
      <c r="C53" s="136">
        <v>0</v>
      </c>
      <c r="D53" s="136">
        <f>DEP!F36</f>
        <v>27578.75</v>
      </c>
      <c r="E53" s="136">
        <v>0</v>
      </c>
      <c r="F53" s="136">
        <f>'BSC (Dome)'!G37</f>
        <v>3287.5</v>
      </c>
      <c r="G53" s="136">
        <f t="shared" si="0"/>
        <v>52387.43</v>
      </c>
      <c r="H53" s="137">
        <f t="shared" si="21"/>
        <v>3.864947947685736E-2</v>
      </c>
      <c r="I53" s="137"/>
      <c r="J53" s="135" t="s">
        <v>269</v>
      </c>
      <c r="K53" s="136">
        <v>28318.36</v>
      </c>
      <c r="L53" s="136">
        <v>0</v>
      </c>
      <c r="M53" s="136">
        <v>26867.41</v>
      </c>
      <c r="N53" s="136">
        <v>0</v>
      </c>
      <c r="O53" s="136">
        <v>13798.8</v>
      </c>
      <c r="P53" s="136">
        <f t="shared" si="2"/>
        <v>68984.570000000007</v>
      </c>
      <c r="Q53" s="137">
        <f t="shared" si="22"/>
        <v>6.3062746649346205E-2</v>
      </c>
      <c r="R53" s="137"/>
      <c r="S53" s="136">
        <f t="shared" ref="S53:S73" si="23">G53-P53</f>
        <v>-16597.140000000007</v>
      </c>
      <c r="T53" s="136"/>
      <c r="U53" s="137">
        <f t="shared" ref="U53:U71" si="24">G53/P53</f>
        <v>0.75940793716623867</v>
      </c>
      <c r="V53" s="136"/>
      <c r="W53" s="137">
        <f t="shared" si="6"/>
        <v>-0.24059206283376133</v>
      </c>
    </row>
    <row r="54" spans="1:23" s="135" customFormat="1" ht="24.75" customHeight="1" x14ac:dyDescent="0.4">
      <c r="A54" s="135" t="s">
        <v>270</v>
      </c>
      <c r="B54" s="136">
        <f>'CNT (from FS Analysis)'!N198</f>
        <v>7919.7999999999993</v>
      </c>
      <c r="C54" s="136">
        <v>0</v>
      </c>
      <c r="D54" s="136">
        <v>0</v>
      </c>
      <c r="E54" s="136">
        <v>0</v>
      </c>
      <c r="F54" s="136">
        <f>'BSC (Dome)'!G36</f>
        <v>54615.08</v>
      </c>
      <c r="G54" s="136">
        <f t="shared" si="0"/>
        <v>62534.880000000005</v>
      </c>
      <c r="H54" s="137">
        <f t="shared" si="21"/>
        <v>4.6135887199424325E-2</v>
      </c>
      <c r="I54" s="137"/>
      <c r="J54" s="135" t="s">
        <v>270</v>
      </c>
      <c r="K54" s="136">
        <v>4393</v>
      </c>
      <c r="L54" s="136">
        <v>0</v>
      </c>
      <c r="M54" s="136">
        <v>0</v>
      </c>
      <c r="N54" s="136">
        <v>0</v>
      </c>
      <c r="O54" s="136">
        <v>53369.38</v>
      </c>
      <c r="P54" s="136">
        <f t="shared" si="2"/>
        <v>57762.38</v>
      </c>
      <c r="Q54" s="137">
        <f t="shared" si="22"/>
        <v>5.2803899999713869E-2</v>
      </c>
      <c r="R54" s="137"/>
      <c r="S54" s="136">
        <f t="shared" si="23"/>
        <v>4772.5000000000073</v>
      </c>
      <c r="T54" s="136"/>
      <c r="U54" s="137">
        <f t="shared" si="24"/>
        <v>1.0826229805627816</v>
      </c>
      <c r="V54" s="136"/>
      <c r="W54" s="137">
        <f t="shared" si="6"/>
        <v>8.2622980562781612E-2</v>
      </c>
    </row>
    <row r="55" spans="1:23" s="135" customFormat="1" ht="24.75" customHeight="1" x14ac:dyDescent="0.4">
      <c r="A55" s="135" t="s">
        <v>379</v>
      </c>
      <c r="B55" s="136">
        <v>0</v>
      </c>
      <c r="C55" s="136">
        <v>0</v>
      </c>
      <c r="D55" s="136">
        <v>0</v>
      </c>
      <c r="E55" s="136">
        <v>0</v>
      </c>
      <c r="F55" s="136">
        <f>'BSC (Dome)'!G38</f>
        <v>233.88</v>
      </c>
      <c r="G55" s="136">
        <f t="shared" si="0"/>
        <v>233.88</v>
      </c>
      <c r="H55" s="137">
        <f t="shared" si="21"/>
        <v>1.7254788524742286E-4</v>
      </c>
      <c r="I55" s="137"/>
      <c r="J55" s="135" t="s">
        <v>379</v>
      </c>
      <c r="K55" s="136">
        <v>100</v>
      </c>
      <c r="L55" s="136">
        <v>0</v>
      </c>
      <c r="M55" s="136">
        <v>0</v>
      </c>
      <c r="N55" s="136">
        <v>0</v>
      </c>
      <c r="O55" s="136">
        <v>0</v>
      </c>
      <c r="P55" s="136">
        <f t="shared" si="2"/>
        <v>100</v>
      </c>
      <c r="Q55" s="137">
        <f t="shared" si="22"/>
        <v>9.1415727675545693E-5</v>
      </c>
      <c r="R55" s="137"/>
      <c r="S55" s="136">
        <f t="shared" si="23"/>
        <v>133.88</v>
      </c>
      <c r="T55" s="136"/>
      <c r="U55" s="137">
        <f t="shared" si="24"/>
        <v>2.3388</v>
      </c>
      <c r="V55" s="136"/>
      <c r="W55" s="137">
        <f t="shared" si="6"/>
        <v>1.3388</v>
      </c>
    </row>
    <row r="56" spans="1:23" s="135" customFormat="1" ht="24.75" customHeight="1" x14ac:dyDescent="0.4">
      <c r="A56" s="135" t="s">
        <v>329</v>
      </c>
      <c r="B56" s="136">
        <v>0</v>
      </c>
      <c r="C56" s="136">
        <v>0</v>
      </c>
      <c r="D56" s="136">
        <f>DEP!F37</f>
        <v>600</v>
      </c>
      <c r="E56" s="136">
        <v>0</v>
      </c>
      <c r="F56" s="136">
        <f>'BSC (Dome)'!G39</f>
        <v>2379.04</v>
      </c>
      <c r="G56" s="136">
        <f t="shared" si="0"/>
        <v>2979.04</v>
      </c>
      <c r="H56" s="137">
        <f t="shared" si="21"/>
        <v>2.1978238928830282E-3</v>
      </c>
      <c r="I56" s="137"/>
      <c r="J56" s="135" t="s">
        <v>329</v>
      </c>
      <c r="K56" s="136">
        <v>0</v>
      </c>
      <c r="L56" s="136">
        <v>0</v>
      </c>
      <c r="M56" s="136">
        <v>397</v>
      </c>
      <c r="N56" s="136">
        <v>0</v>
      </c>
      <c r="O56" s="136">
        <v>2212</v>
      </c>
      <c r="P56" s="136">
        <f t="shared" si="2"/>
        <v>2609</v>
      </c>
      <c r="Q56" s="137">
        <f t="shared" si="22"/>
        <v>2.3850363350549873E-3</v>
      </c>
      <c r="R56" s="137"/>
      <c r="S56" s="136">
        <f t="shared" si="23"/>
        <v>370.03999999999996</v>
      </c>
      <c r="T56" s="136"/>
      <c r="U56" s="137">
        <f t="shared" si="24"/>
        <v>1.1418321195860484</v>
      </c>
      <c r="V56" s="136"/>
      <c r="W56" s="137">
        <f t="shared" si="6"/>
        <v>0.14183211958604836</v>
      </c>
    </row>
    <row r="57" spans="1:23" s="135" customFormat="1" ht="24.75" customHeight="1" x14ac:dyDescent="0.4">
      <c r="A57" s="135" t="s">
        <v>271</v>
      </c>
      <c r="B57" s="136">
        <f>'CNT (from FS Analysis)'!N200</f>
        <v>14225</v>
      </c>
      <c r="C57" s="136">
        <v>0</v>
      </c>
      <c r="D57" s="136">
        <f>DEP!F38</f>
        <v>6660</v>
      </c>
      <c r="E57" s="136">
        <v>0</v>
      </c>
      <c r="F57" s="136">
        <v>0</v>
      </c>
      <c r="G57" s="136">
        <f t="shared" si="0"/>
        <v>20885</v>
      </c>
      <c r="H57" s="137">
        <f t="shared" si="21"/>
        <v>1.5408169075561941E-2</v>
      </c>
      <c r="I57" s="137"/>
      <c r="J57" s="135" t="s">
        <v>271</v>
      </c>
      <c r="K57" s="136">
        <v>9589</v>
      </c>
      <c r="L57" s="136">
        <v>0</v>
      </c>
      <c r="M57" s="136">
        <v>-597</v>
      </c>
      <c r="N57" s="136">
        <v>0</v>
      </c>
      <c r="O57" s="136">
        <v>0</v>
      </c>
      <c r="P57" s="136">
        <f t="shared" si="2"/>
        <v>8992</v>
      </c>
      <c r="Q57" s="137">
        <f t="shared" si="22"/>
        <v>8.2201022325850692E-3</v>
      </c>
      <c r="R57" s="137"/>
      <c r="S57" s="136">
        <f t="shared" si="23"/>
        <v>11893</v>
      </c>
      <c r="T57" s="136"/>
      <c r="U57" s="137">
        <f t="shared" si="24"/>
        <v>2.3226201067615659</v>
      </c>
      <c r="V57" s="136"/>
      <c r="W57" s="137">
        <f t="shared" si="6"/>
        <v>1.3226201067615659</v>
      </c>
    </row>
    <row r="58" spans="1:23" s="135" customFormat="1" ht="24.75" customHeight="1" x14ac:dyDescent="0.4">
      <c r="A58" s="135" t="s">
        <v>420</v>
      </c>
      <c r="B58" s="136">
        <f>'CNT (from FS Analysis)'!N201+'CNT (from FS Analysis)'!N209</f>
        <v>39209.15</v>
      </c>
      <c r="C58" s="136">
        <f>BPM!F33</f>
        <v>1511.66</v>
      </c>
      <c r="D58" s="136">
        <f>DEP!F39</f>
        <v>5719.7199999999993</v>
      </c>
      <c r="E58" s="136">
        <v>0</v>
      </c>
      <c r="F58" s="136">
        <f>'BSC (Dome)'!G41</f>
        <v>2381.98</v>
      </c>
      <c r="G58" s="136">
        <f t="shared" si="0"/>
        <v>48822.510000000009</v>
      </c>
      <c r="H58" s="137">
        <f t="shared" si="21"/>
        <v>3.6019415311147412E-2</v>
      </c>
      <c r="I58" s="137"/>
      <c r="J58" s="135" t="s">
        <v>272</v>
      </c>
      <c r="K58" s="136">
        <v>56005.08</v>
      </c>
      <c r="L58" s="136">
        <v>4641.88</v>
      </c>
      <c r="M58" s="136">
        <v>15408.94</v>
      </c>
      <c r="N58" s="136">
        <v>0</v>
      </c>
      <c r="O58" s="136">
        <f>452.67+862.3</f>
        <v>1314.97</v>
      </c>
      <c r="P58" s="136">
        <f t="shared" si="2"/>
        <v>77370.87</v>
      </c>
      <c r="Q58" s="137">
        <f t="shared" si="22"/>
        <v>7.0729143819400472E-2</v>
      </c>
      <c r="R58" s="137"/>
      <c r="S58" s="136">
        <f t="shared" si="23"/>
        <v>-28548.359999999986</v>
      </c>
      <c r="T58" s="136"/>
      <c r="U58" s="137">
        <f t="shared" si="24"/>
        <v>0.63101927120633405</v>
      </c>
      <c r="V58" s="136"/>
      <c r="W58" s="137">
        <f t="shared" si="6"/>
        <v>-0.36898072879366595</v>
      </c>
    </row>
    <row r="59" spans="1:23" s="135" customFormat="1" ht="24.75" customHeight="1" x14ac:dyDescent="0.4">
      <c r="A59" s="135" t="s">
        <v>421</v>
      </c>
      <c r="B59" s="136"/>
      <c r="C59" s="136"/>
      <c r="D59" s="136"/>
      <c r="E59" s="136"/>
      <c r="F59" s="136">
        <f>'BSC (Dome)'!G42+'BSC (Dome)'!G48</f>
        <v>3170.75</v>
      </c>
      <c r="G59" s="136">
        <f t="shared" si="0"/>
        <v>3170.75</v>
      </c>
      <c r="H59" s="137">
        <f t="shared" si="21"/>
        <v>2.3392603349934415E-3</v>
      </c>
      <c r="I59" s="137"/>
      <c r="J59" s="135" t="s">
        <v>421</v>
      </c>
      <c r="K59" s="136">
        <v>0</v>
      </c>
      <c r="L59" s="136">
        <v>0</v>
      </c>
      <c r="M59" s="136">
        <v>0</v>
      </c>
      <c r="N59" s="136">
        <v>0</v>
      </c>
      <c r="O59" s="136">
        <f>1638.41+5460.79</f>
        <v>7099.2</v>
      </c>
      <c r="P59" s="136">
        <f t="shared" si="2"/>
        <v>7099.2</v>
      </c>
      <c r="Q59" s="137">
        <f t="shared" si="22"/>
        <v>6.4897853391423397E-3</v>
      </c>
      <c r="R59" s="137"/>
      <c r="S59" s="136">
        <f>G59-P59</f>
        <v>-3928.45</v>
      </c>
      <c r="T59" s="136"/>
      <c r="U59" s="137">
        <f t="shared" si="24"/>
        <v>0.44663483209375704</v>
      </c>
      <c r="V59" s="136"/>
      <c r="W59" s="137">
        <f t="shared" si="6"/>
        <v>-0.55336516790624302</v>
      </c>
    </row>
    <row r="60" spans="1:23" s="135" customFormat="1" ht="24.75" customHeight="1" x14ac:dyDescent="0.4">
      <c r="A60" s="135" t="s">
        <v>274</v>
      </c>
      <c r="B60" s="136">
        <f>'CNT (from FS Analysis)'!N202</f>
        <v>34706.070000000007</v>
      </c>
      <c r="C60" s="136">
        <v>0</v>
      </c>
      <c r="D60" s="136">
        <f>DEP!F40</f>
        <v>21576.720000000001</v>
      </c>
      <c r="E60" s="136">
        <v>0</v>
      </c>
      <c r="F60" s="136">
        <f>'BSC (Dome)'!G44</f>
        <v>233.66</v>
      </c>
      <c r="G60" s="136">
        <f t="shared" si="0"/>
        <v>56516.450000000012</v>
      </c>
      <c r="H60" s="137">
        <f t="shared" si="21"/>
        <v>4.1695715448912755E-2</v>
      </c>
      <c r="I60" s="137"/>
      <c r="J60" s="135" t="s">
        <v>274</v>
      </c>
      <c r="K60" s="136">
        <v>36673.120000000003</v>
      </c>
      <c r="L60" s="136">
        <v>0</v>
      </c>
      <c r="M60" s="136">
        <v>17268</v>
      </c>
      <c r="N60" s="136">
        <v>0</v>
      </c>
      <c r="O60" s="136">
        <v>496.97</v>
      </c>
      <c r="P60" s="136">
        <f t="shared" si="2"/>
        <v>54438.090000000004</v>
      </c>
      <c r="Q60" s="137">
        <f t="shared" si="22"/>
        <v>4.9764976106168479E-2</v>
      </c>
      <c r="R60" s="137"/>
      <c r="S60" s="136">
        <f t="shared" si="23"/>
        <v>2078.3600000000079</v>
      </c>
      <c r="T60" s="136"/>
      <c r="U60" s="137">
        <f t="shared" si="24"/>
        <v>1.0381784151501277</v>
      </c>
      <c r="V60" s="136"/>
      <c r="W60" s="137">
        <f t="shared" si="6"/>
        <v>3.8178415150127654E-2</v>
      </c>
    </row>
    <row r="61" spans="1:23" s="135" customFormat="1" ht="24.75" customHeight="1" x14ac:dyDescent="0.4">
      <c r="A61" s="135" t="s">
        <v>275</v>
      </c>
      <c r="B61" s="136">
        <f>'CNT (from FS Analysis)'!N203</f>
        <v>12400</v>
      </c>
      <c r="C61" s="136">
        <v>0</v>
      </c>
      <c r="D61" s="136">
        <f>DEP!F41</f>
        <v>8315.16</v>
      </c>
      <c r="E61" s="136">
        <v>0</v>
      </c>
      <c r="F61" s="136">
        <v>0</v>
      </c>
      <c r="G61" s="136">
        <f t="shared" si="0"/>
        <v>20715.16</v>
      </c>
      <c r="H61" s="137">
        <f t="shared" si="21"/>
        <v>1.5282867498554833E-2</v>
      </c>
      <c r="I61" s="137"/>
      <c r="J61" s="135" t="s">
        <v>275</v>
      </c>
      <c r="K61" s="136">
        <v>10700.42</v>
      </c>
      <c r="L61" s="136">
        <v>0</v>
      </c>
      <c r="M61" s="136">
        <v>7693.05</v>
      </c>
      <c r="N61" s="136">
        <v>0</v>
      </c>
      <c r="O61" s="136"/>
      <c r="P61" s="136">
        <f t="shared" si="2"/>
        <v>18393.47</v>
      </c>
      <c r="Q61" s="137">
        <f t="shared" si="22"/>
        <v>1.6814524445283197E-2</v>
      </c>
      <c r="R61" s="137"/>
      <c r="S61" s="136">
        <f t="shared" si="23"/>
        <v>2321.6899999999987</v>
      </c>
      <c r="T61" s="136"/>
      <c r="U61" s="137">
        <f t="shared" si="24"/>
        <v>1.1262236000058716</v>
      </c>
      <c r="V61" s="136"/>
      <c r="W61" s="137">
        <f t="shared" si="6"/>
        <v>0.12622360000587163</v>
      </c>
    </row>
    <row r="62" spans="1:23" s="135" customFormat="1" ht="24.75" customHeight="1" x14ac:dyDescent="0.4">
      <c r="A62" s="135" t="s">
        <v>273</v>
      </c>
      <c r="B62" s="136">
        <f>'CNT (from FS Analysis)'!N204</f>
        <v>20461.190000000002</v>
      </c>
      <c r="C62" s="136">
        <v>0</v>
      </c>
      <c r="D62" s="136">
        <f>DEP!F42</f>
        <v>72083.329999999987</v>
      </c>
      <c r="E62" s="136">
        <v>0</v>
      </c>
      <c r="F62" s="136">
        <f>'BSC (Dome)'!G46</f>
        <v>9696</v>
      </c>
      <c r="G62" s="136">
        <f t="shared" si="0"/>
        <v>102240.51999999999</v>
      </c>
      <c r="H62" s="137">
        <f t="shared" si="21"/>
        <v>7.5429218028890202E-2</v>
      </c>
      <c r="I62" s="137"/>
      <c r="J62" s="135" t="s">
        <v>273</v>
      </c>
      <c r="K62" s="136">
        <v>17368.75</v>
      </c>
      <c r="L62" s="136">
        <v>0</v>
      </c>
      <c r="M62" s="136">
        <v>0</v>
      </c>
      <c r="N62" s="136">
        <v>0</v>
      </c>
      <c r="O62" s="136">
        <v>23420</v>
      </c>
      <c r="P62" s="136">
        <f t="shared" si="2"/>
        <v>40788.75</v>
      </c>
      <c r="Q62" s="137">
        <f t="shared" si="22"/>
        <v>3.7287332622259146E-2</v>
      </c>
      <c r="R62" s="137"/>
      <c r="S62" s="136">
        <f t="shared" si="23"/>
        <v>61451.76999999999</v>
      </c>
      <c r="T62" s="136"/>
      <c r="U62" s="137">
        <f t="shared" si="24"/>
        <v>2.5065862523367346</v>
      </c>
      <c r="V62" s="136"/>
      <c r="W62" s="137">
        <f t="shared" si="6"/>
        <v>1.5065862523367346</v>
      </c>
    </row>
    <row r="63" spans="1:23" s="135" customFormat="1" ht="24.75" customHeight="1" x14ac:dyDescent="0.4">
      <c r="A63" s="135" t="s">
        <v>405</v>
      </c>
      <c r="B63" s="136">
        <v>0</v>
      </c>
      <c r="C63" s="136">
        <v>0</v>
      </c>
      <c r="D63" s="136">
        <v>0</v>
      </c>
      <c r="E63" s="136">
        <v>0</v>
      </c>
      <c r="F63" s="136">
        <f>'BSC (Dome)'!G43</f>
        <v>8529.01</v>
      </c>
      <c r="G63" s="136">
        <f t="shared" si="0"/>
        <v>8529.01</v>
      </c>
      <c r="H63" s="137">
        <f t="shared" si="21"/>
        <v>6.2923834391744576E-3</v>
      </c>
      <c r="I63" s="137"/>
      <c r="J63" s="135" t="s">
        <v>405</v>
      </c>
      <c r="K63" s="136">
        <v>0</v>
      </c>
      <c r="L63" s="136">
        <v>0</v>
      </c>
      <c r="M63" s="136">
        <v>0</v>
      </c>
      <c r="N63" s="136">
        <v>0</v>
      </c>
      <c r="O63" s="136">
        <f>413.6+4882.34</f>
        <v>5295.9400000000005</v>
      </c>
      <c r="P63" s="136">
        <f t="shared" si="2"/>
        <v>5295.9400000000005</v>
      </c>
      <c r="Q63" s="137">
        <f t="shared" si="22"/>
        <v>4.8413220882602952E-3</v>
      </c>
      <c r="R63" s="137"/>
      <c r="S63" s="136">
        <f t="shared" si="23"/>
        <v>3233.0699999999997</v>
      </c>
      <c r="T63" s="136"/>
      <c r="U63" s="137">
        <f t="shared" si="24"/>
        <v>1.6104808589221176</v>
      </c>
      <c r="V63" s="136"/>
      <c r="W63" s="137">
        <f t="shared" si="6"/>
        <v>0.61048085892211756</v>
      </c>
    </row>
    <row r="64" spans="1:23" s="135" customFormat="1" ht="24.75" customHeight="1" x14ac:dyDescent="0.4">
      <c r="A64" s="135" t="s">
        <v>276</v>
      </c>
      <c r="B64" s="136">
        <f>'CNT (from FS Analysis)'!N205</f>
        <v>6534.29</v>
      </c>
      <c r="C64" s="136">
        <v>0</v>
      </c>
      <c r="D64" s="136">
        <f>DEP!F43</f>
        <v>106.3</v>
      </c>
      <c r="E64" s="136">
        <v>0</v>
      </c>
      <c r="F64" s="136">
        <f>'BSC (Dome)'!G49</f>
        <v>1417.5100000000002</v>
      </c>
      <c r="G64" s="136">
        <f t="shared" si="0"/>
        <v>8058.1</v>
      </c>
      <c r="H64" s="137">
        <f t="shared" si="21"/>
        <v>5.9449637169157613E-3</v>
      </c>
      <c r="I64" s="137"/>
      <c r="J64" s="135" t="s">
        <v>276</v>
      </c>
      <c r="K64" s="136">
        <v>15018.47</v>
      </c>
      <c r="L64" s="136">
        <v>0</v>
      </c>
      <c r="M64" s="136">
        <v>2995.62</v>
      </c>
      <c r="N64" s="136">
        <v>0</v>
      </c>
      <c r="O64" s="136">
        <v>693.44</v>
      </c>
      <c r="P64" s="136">
        <f t="shared" si="2"/>
        <v>18707.53</v>
      </c>
      <c r="Q64" s="137">
        <f t="shared" si="22"/>
        <v>1.7101624679621012E-2</v>
      </c>
      <c r="R64" s="137"/>
      <c r="S64" s="136">
        <f t="shared" si="23"/>
        <v>-10649.429999999998</v>
      </c>
      <c r="T64" s="136"/>
      <c r="U64" s="137">
        <f t="shared" si="24"/>
        <v>0.43074099039263875</v>
      </c>
      <c r="V64" s="136"/>
      <c r="W64" s="137">
        <f t="shared" si="6"/>
        <v>-0.56925900960736131</v>
      </c>
    </row>
    <row r="65" spans="1:23" s="135" customFormat="1" ht="24.75" customHeight="1" x14ac:dyDescent="0.4">
      <c r="A65" s="135" t="s">
        <v>277</v>
      </c>
      <c r="B65" s="136">
        <f>'CNT (from FS Analysis)'!N206</f>
        <v>1802.9800000000002</v>
      </c>
      <c r="C65" s="136">
        <v>0</v>
      </c>
      <c r="D65" s="136">
        <f>DEP!F45</f>
        <v>1625.84</v>
      </c>
      <c r="E65" s="136">
        <v>0</v>
      </c>
      <c r="F65" s="136">
        <v>0</v>
      </c>
      <c r="G65" s="136">
        <f t="shared" si="0"/>
        <v>3428.82</v>
      </c>
      <c r="H65" s="137">
        <f t="shared" si="21"/>
        <v>2.5296546942623079E-3</v>
      </c>
      <c r="I65" s="137"/>
      <c r="J65" s="135" t="s">
        <v>277</v>
      </c>
      <c r="K65" s="136">
        <v>1169.67</v>
      </c>
      <c r="L65" s="136">
        <v>402.68</v>
      </c>
      <c r="M65" s="136">
        <v>1526.48</v>
      </c>
      <c r="N65" s="136">
        <v>0</v>
      </c>
      <c r="O65" s="136">
        <v>0</v>
      </c>
      <c r="P65" s="136">
        <f t="shared" si="2"/>
        <v>3098.83</v>
      </c>
      <c r="Q65" s="137">
        <f t="shared" si="22"/>
        <v>2.8328179939281126E-3</v>
      </c>
      <c r="R65" s="137"/>
      <c r="S65" s="136">
        <f t="shared" si="23"/>
        <v>329.99000000000024</v>
      </c>
      <c r="T65" s="136"/>
      <c r="U65" s="137">
        <f t="shared" si="24"/>
        <v>1.1064885779471607</v>
      </c>
      <c r="V65" s="136"/>
      <c r="W65" s="137">
        <f t="shared" si="6"/>
        <v>0.10648857794716071</v>
      </c>
    </row>
    <row r="66" spans="1:23" s="135" customFormat="1" ht="24.75" customHeight="1" x14ac:dyDescent="0.4">
      <c r="A66" s="135" t="s">
        <v>278</v>
      </c>
      <c r="B66" s="136">
        <f>'CNT (from FS Analysis)'!N207</f>
        <v>1333.32</v>
      </c>
      <c r="C66" s="136">
        <v>0</v>
      </c>
      <c r="D66" s="136">
        <v>0</v>
      </c>
      <c r="E66" s="136">
        <v>0</v>
      </c>
      <c r="F66" s="136">
        <v>0</v>
      </c>
      <c r="G66" s="136">
        <f t="shared" si="0"/>
        <v>1333.32</v>
      </c>
      <c r="H66" s="137">
        <f t="shared" si="21"/>
        <v>9.8367344945311211E-4</v>
      </c>
      <c r="I66" s="137"/>
      <c r="J66" s="135" t="s">
        <v>278</v>
      </c>
      <c r="K66" s="136">
        <v>1600</v>
      </c>
      <c r="L66" s="136">
        <v>0</v>
      </c>
      <c r="M66" s="136">
        <v>0</v>
      </c>
      <c r="N66" s="136">
        <v>0</v>
      </c>
      <c r="O66" s="136">
        <v>0</v>
      </c>
      <c r="P66" s="136">
        <f t="shared" si="2"/>
        <v>1600</v>
      </c>
      <c r="Q66" s="137">
        <f t="shared" si="22"/>
        <v>1.4626516428087311E-3</v>
      </c>
      <c r="R66" s="137"/>
      <c r="S66" s="136">
        <f t="shared" si="23"/>
        <v>-266.68000000000006</v>
      </c>
      <c r="T66" s="136"/>
      <c r="U66" s="137">
        <f t="shared" si="24"/>
        <v>0.83332499999999998</v>
      </c>
      <c r="V66" s="136"/>
      <c r="W66" s="137">
        <f t="shared" si="6"/>
        <v>-0.16667500000000002</v>
      </c>
    </row>
    <row r="67" spans="1:23" s="135" customFormat="1" ht="24.75" customHeight="1" x14ac:dyDescent="0.4">
      <c r="A67" s="135" t="s">
        <v>279</v>
      </c>
      <c r="B67" s="136">
        <f>'CNT (from FS Analysis)'!N208</f>
        <v>472195.85</v>
      </c>
      <c r="C67" s="136">
        <f>BPM!F34</f>
        <v>1397.29</v>
      </c>
      <c r="D67" s="136">
        <f>DEP!F46</f>
        <v>41137.15</v>
      </c>
      <c r="E67" s="136">
        <v>0</v>
      </c>
      <c r="F67" s="136">
        <f>'BSC (Dome)'!G52</f>
        <v>37528.76</v>
      </c>
      <c r="G67" s="136">
        <f t="shared" si="0"/>
        <v>552259.04999999993</v>
      </c>
      <c r="H67" s="137">
        <f t="shared" si="21"/>
        <v>0.40743599788887785</v>
      </c>
      <c r="I67" s="137"/>
      <c r="J67" s="135" t="s">
        <v>279</v>
      </c>
      <c r="K67" s="136">
        <v>260000</v>
      </c>
      <c r="L67" s="136">
        <v>1000</v>
      </c>
      <c r="M67" s="136">
        <v>35000</v>
      </c>
      <c r="N67" s="136">
        <v>0</v>
      </c>
      <c r="O67" s="136">
        <v>36000</v>
      </c>
      <c r="P67" s="136">
        <f t="shared" si="2"/>
        <v>332000</v>
      </c>
      <c r="Q67" s="137">
        <f t="shared" si="22"/>
        <v>0.30350021588281173</v>
      </c>
      <c r="R67" s="137"/>
      <c r="S67" s="136">
        <f t="shared" si="23"/>
        <v>220259.04999999993</v>
      </c>
      <c r="T67" s="136"/>
      <c r="U67" s="137">
        <f t="shared" si="24"/>
        <v>1.6634308734939758</v>
      </c>
      <c r="V67" s="136"/>
      <c r="W67" s="137">
        <f t="shared" si="6"/>
        <v>0.66343087349397578</v>
      </c>
    </row>
    <row r="68" spans="1:23" s="135" customFormat="1" ht="24.75" customHeight="1" x14ac:dyDescent="0.4">
      <c r="A68" s="135" t="s">
        <v>290</v>
      </c>
      <c r="B68" s="136">
        <f>'CNT (from FS Analysis)'!N225</f>
        <v>976.74</v>
      </c>
      <c r="C68" s="136">
        <v>0</v>
      </c>
      <c r="D68" s="136">
        <v>0</v>
      </c>
      <c r="E68" s="136">
        <v>0</v>
      </c>
      <c r="F68" s="136">
        <v>0</v>
      </c>
      <c r="G68" s="136">
        <f t="shared" si="0"/>
        <v>976.74</v>
      </c>
      <c r="H68" s="137">
        <f t="shared" si="21"/>
        <v>7.2060210978522245E-4</v>
      </c>
      <c r="I68" s="137"/>
      <c r="J68" s="135" t="s">
        <v>290</v>
      </c>
      <c r="K68" s="136">
        <v>959.3</v>
      </c>
      <c r="L68" s="136">
        <v>0</v>
      </c>
      <c r="M68" s="136">
        <v>0</v>
      </c>
      <c r="N68" s="136">
        <v>0</v>
      </c>
      <c r="O68" s="136">
        <v>0</v>
      </c>
      <c r="P68" s="136">
        <f t="shared" si="2"/>
        <v>959.3</v>
      </c>
      <c r="Q68" s="137">
        <f t="shared" si="22"/>
        <v>8.7695107559150978E-4</v>
      </c>
      <c r="R68" s="137"/>
      <c r="S68" s="136">
        <f t="shared" si="23"/>
        <v>17.440000000000055</v>
      </c>
      <c r="T68" s="136"/>
      <c r="U68" s="137">
        <f t="shared" si="24"/>
        <v>1.0181799228604191</v>
      </c>
      <c r="V68" s="136"/>
      <c r="W68" s="137">
        <f t="shared" si="6"/>
        <v>1.817992286041914E-2</v>
      </c>
    </row>
    <row r="69" spans="1:23" s="135" customFormat="1" ht="24.75" customHeight="1" x14ac:dyDescent="0.4">
      <c r="A69" s="135" t="s">
        <v>402</v>
      </c>
      <c r="B69" s="136"/>
      <c r="C69" s="136"/>
      <c r="D69" s="136"/>
      <c r="E69" s="136"/>
      <c r="F69" s="136">
        <f>'BSC (Dome)'!G47</f>
        <v>565</v>
      </c>
      <c r="G69" s="136">
        <f t="shared" si="0"/>
        <v>565</v>
      </c>
      <c r="H69" s="137">
        <f t="shared" si="21"/>
        <v>4.168357925636819E-4</v>
      </c>
      <c r="I69" s="137"/>
      <c r="J69" s="135" t="s">
        <v>402</v>
      </c>
      <c r="K69" s="136"/>
      <c r="L69" s="136"/>
      <c r="M69" s="136"/>
      <c r="N69" s="136"/>
      <c r="O69" s="136">
        <v>565</v>
      </c>
      <c r="P69" s="136"/>
      <c r="Q69" s="137"/>
      <c r="R69" s="137"/>
      <c r="S69" s="136"/>
      <c r="T69" s="136"/>
      <c r="U69" s="137"/>
      <c r="V69" s="136"/>
      <c r="W69" s="137"/>
    </row>
    <row r="70" spans="1:23" s="135" customFormat="1" ht="24.75" customHeight="1" x14ac:dyDescent="0.4">
      <c r="A70" s="135" t="s">
        <v>282</v>
      </c>
      <c r="B70" s="136">
        <f>'CNT (from FS Analysis)'!N224</f>
        <v>4745.5599999999995</v>
      </c>
      <c r="C70" s="136">
        <v>0</v>
      </c>
      <c r="D70" s="136">
        <f>DEP!F47</f>
        <v>7166.5199999999995</v>
      </c>
      <c r="E70" s="136">
        <v>0</v>
      </c>
      <c r="F70" s="136">
        <v>0</v>
      </c>
      <c r="G70" s="136">
        <f t="shared" si="0"/>
        <v>11912.079999999998</v>
      </c>
      <c r="H70" s="137">
        <f t="shared" si="21"/>
        <v>8.7882855006760768E-3</v>
      </c>
      <c r="I70" s="137"/>
      <c r="J70" s="135" t="s">
        <v>282</v>
      </c>
      <c r="K70" s="136">
        <v>2262.67</v>
      </c>
      <c r="L70" s="136">
        <v>0</v>
      </c>
      <c r="M70" s="136">
        <v>2419.7800000000002</v>
      </c>
      <c r="N70" s="136">
        <v>0</v>
      </c>
      <c r="O70" s="136">
        <v>0</v>
      </c>
      <c r="P70" s="136">
        <f t="shared" si="2"/>
        <v>4682.4500000000007</v>
      </c>
      <c r="Q70" s="137">
        <f>P70/$P$74</f>
        <v>4.2804957405435905E-3</v>
      </c>
      <c r="R70" s="137"/>
      <c r="S70" s="136">
        <f t="shared" si="23"/>
        <v>7229.6299999999974</v>
      </c>
      <c r="T70" s="136"/>
      <c r="U70" s="137">
        <f t="shared" si="24"/>
        <v>2.5439844525835826</v>
      </c>
      <c r="V70" s="136"/>
      <c r="W70" s="137">
        <f t="shared" si="6"/>
        <v>1.5439844525835826</v>
      </c>
    </row>
    <row r="71" spans="1:23" s="135" customFormat="1" ht="24.75" customHeight="1" x14ac:dyDescent="0.4">
      <c r="A71" s="135" t="s">
        <v>283</v>
      </c>
      <c r="B71" s="136">
        <f>'CNT (from FS Analysis)'!N228+'CNT (from FS Analysis)'!N210</f>
        <v>61192</v>
      </c>
      <c r="C71" s="136">
        <v>0</v>
      </c>
      <c r="D71" s="136">
        <f>DEP!F44</f>
        <v>29289.87</v>
      </c>
      <c r="E71" s="136">
        <v>0</v>
      </c>
      <c r="F71" s="136">
        <v>0</v>
      </c>
      <c r="G71" s="136">
        <f t="shared" si="0"/>
        <v>90481.87</v>
      </c>
      <c r="H71" s="137">
        <f t="shared" si="21"/>
        <v>6.6754127423175269E-2</v>
      </c>
      <c r="I71" s="137"/>
      <c r="J71" s="135" t="s">
        <v>283</v>
      </c>
      <c r="K71" s="136">
        <v>1675</v>
      </c>
      <c r="L71" s="136">
        <v>0</v>
      </c>
      <c r="M71" s="136">
        <v>27981.29</v>
      </c>
      <c r="N71" s="136">
        <v>0</v>
      </c>
      <c r="O71" s="136">
        <v>0</v>
      </c>
      <c r="P71" s="136">
        <f t="shared" si="2"/>
        <v>29656.29</v>
      </c>
      <c r="Q71" s="137">
        <f>P71/$P$74</f>
        <v>2.711051330507009E-2</v>
      </c>
      <c r="R71" s="137"/>
      <c r="S71" s="136">
        <f t="shared" si="23"/>
        <v>60825.579999999994</v>
      </c>
      <c r="T71" s="136"/>
      <c r="U71" s="137">
        <f t="shared" si="24"/>
        <v>3.051017844780989</v>
      </c>
      <c r="V71" s="136"/>
      <c r="W71" s="137">
        <f t="shared" si="6"/>
        <v>2.051017844780989</v>
      </c>
    </row>
    <row r="72" spans="1:23" s="135" customFormat="1" ht="24.75" customHeight="1" x14ac:dyDescent="0.4">
      <c r="A72" s="135" t="s">
        <v>415</v>
      </c>
      <c r="B72" s="136"/>
      <c r="C72" s="136"/>
      <c r="D72" s="136"/>
      <c r="E72" s="136"/>
      <c r="F72" s="136">
        <f>'BSC (Dome)'!G54</f>
        <v>2372.79</v>
      </c>
      <c r="G72" s="136">
        <f t="shared" si="0"/>
        <v>2372.79</v>
      </c>
      <c r="H72" s="137">
        <f t="shared" si="21"/>
        <v>1.750555398649874E-3</v>
      </c>
      <c r="I72" s="137"/>
      <c r="J72" s="135" t="s">
        <v>415</v>
      </c>
      <c r="K72" s="136"/>
      <c r="L72" s="136"/>
      <c r="M72" s="136"/>
      <c r="N72" s="136"/>
      <c r="O72" s="136">
        <v>0</v>
      </c>
      <c r="P72" s="136">
        <f t="shared" si="2"/>
        <v>0</v>
      </c>
      <c r="Q72" s="137">
        <f>P72/$P$74</f>
        <v>0</v>
      </c>
      <c r="R72" s="137"/>
      <c r="S72" s="136">
        <f t="shared" si="23"/>
        <v>2372.79</v>
      </c>
      <c r="T72" s="136"/>
      <c r="U72" s="137">
        <v>0</v>
      </c>
      <c r="V72" s="136"/>
      <c r="W72" s="137">
        <f t="shared" si="6"/>
        <v>-1</v>
      </c>
    </row>
    <row r="73" spans="1:23" s="135" customFormat="1" ht="24.75" customHeight="1" x14ac:dyDescent="0.4">
      <c r="A73" s="135" t="s">
        <v>416</v>
      </c>
      <c r="B73" s="136">
        <f>'CNT (from FS Analysis)'!N233</f>
        <v>5935.79</v>
      </c>
      <c r="C73" s="136">
        <f>BPM!F42</f>
        <v>1345.66</v>
      </c>
      <c r="D73" s="136">
        <f>DEP!F48</f>
        <v>4103.87</v>
      </c>
      <c r="E73" s="136">
        <v>0</v>
      </c>
      <c r="F73" s="136">
        <f>'BSC (Dome)'!G55</f>
        <v>2862.1</v>
      </c>
      <c r="G73" s="136">
        <f t="shared" si="0"/>
        <v>14247.42</v>
      </c>
      <c r="H73" s="137">
        <f t="shared" si="21"/>
        <v>1.0511211695022395E-2</v>
      </c>
      <c r="I73" s="137"/>
      <c r="J73" s="135" t="s">
        <v>416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f t="shared" si="2"/>
        <v>0</v>
      </c>
      <c r="Q73" s="137">
        <f>P73/$P$74</f>
        <v>0</v>
      </c>
      <c r="R73" s="137"/>
      <c r="S73" s="136">
        <f t="shared" si="23"/>
        <v>14247.42</v>
      </c>
      <c r="T73" s="136"/>
      <c r="U73" s="153">
        <v>0</v>
      </c>
      <c r="V73" s="136"/>
      <c r="W73" s="153">
        <f t="shared" si="6"/>
        <v>-1</v>
      </c>
    </row>
    <row r="74" spans="1:23" s="135" customFormat="1" ht="24.75" customHeight="1" x14ac:dyDescent="0.4">
      <c r="A74" s="145" t="s">
        <v>284</v>
      </c>
      <c r="B74" s="147">
        <f>SUM(B52:B73)</f>
        <v>841958.91999999993</v>
      </c>
      <c r="C74" s="147">
        <f t="shared" ref="C74:F74" si="25">SUM(C52:C73)</f>
        <v>4254.6099999999997</v>
      </c>
      <c r="D74" s="147">
        <f t="shared" si="25"/>
        <v>375963.23000000004</v>
      </c>
      <c r="E74" s="147">
        <f t="shared" si="25"/>
        <v>0</v>
      </c>
      <c r="F74" s="147">
        <f t="shared" si="25"/>
        <v>133273.05999999997</v>
      </c>
      <c r="G74" s="147">
        <f t="shared" si="0"/>
        <v>1355449.82</v>
      </c>
      <c r="H74" s="148">
        <f>SUM(H52:H73)</f>
        <v>0.99999999999999989</v>
      </c>
      <c r="I74" s="149"/>
      <c r="J74" s="145" t="s">
        <v>284</v>
      </c>
      <c r="K74" s="147">
        <f>SUM(K52:K73)</f>
        <v>652632.84</v>
      </c>
      <c r="L74" s="147">
        <f t="shared" ref="L74:N74" si="26">SUM(L52:L73)</f>
        <v>6044.56</v>
      </c>
      <c r="M74" s="147">
        <f t="shared" si="26"/>
        <v>286960.57</v>
      </c>
      <c r="N74" s="147">
        <f t="shared" si="26"/>
        <v>0</v>
      </c>
      <c r="O74" s="147">
        <f>SUM(O52:O73)</f>
        <v>148265.70000000001</v>
      </c>
      <c r="P74" s="147">
        <f t="shared" si="2"/>
        <v>1093903.67</v>
      </c>
      <c r="Q74" s="148">
        <f>SUM(Q52:Q73)</f>
        <v>0.99948350113863316</v>
      </c>
      <c r="R74" s="149"/>
      <c r="S74" s="147">
        <f>G74-P74</f>
        <v>261546.15000000014</v>
      </c>
      <c r="T74" s="147"/>
      <c r="U74" s="148">
        <f>G74/P74</f>
        <v>1.2390943162298744</v>
      </c>
      <c r="V74" s="147"/>
      <c r="W74" s="148">
        <f t="shared" si="6"/>
        <v>0.23909431622987443</v>
      </c>
    </row>
    <row r="75" spans="1:23" s="135" customFormat="1" ht="24.75" customHeight="1" x14ac:dyDescent="0.4">
      <c r="B75" s="136"/>
      <c r="C75" s="136"/>
      <c r="D75" s="136"/>
      <c r="E75" s="136"/>
      <c r="F75" s="136"/>
      <c r="G75" s="136"/>
      <c r="K75" s="136"/>
      <c r="L75" s="136"/>
      <c r="M75" s="136"/>
      <c r="N75" s="136"/>
      <c r="O75" s="136"/>
      <c r="P75" s="136"/>
      <c r="S75" s="136"/>
      <c r="T75" s="136"/>
      <c r="U75" s="137"/>
      <c r="V75" s="136"/>
      <c r="W75" s="137"/>
    </row>
    <row r="76" spans="1:23" s="135" customFormat="1" ht="24.75" customHeight="1" x14ac:dyDescent="0.4">
      <c r="A76" s="145" t="s">
        <v>285</v>
      </c>
      <c r="B76" s="136"/>
      <c r="C76" s="136"/>
      <c r="D76" s="136"/>
      <c r="E76" s="136"/>
      <c r="F76" s="136"/>
      <c r="G76" s="136"/>
      <c r="J76" s="145" t="s">
        <v>285</v>
      </c>
      <c r="K76" s="136"/>
      <c r="L76" s="136"/>
      <c r="M76" s="136"/>
      <c r="N76" s="136"/>
      <c r="O76" s="136"/>
      <c r="P76" s="136"/>
      <c r="S76" s="136"/>
      <c r="T76" s="136"/>
      <c r="U76" s="137"/>
      <c r="V76" s="136"/>
      <c r="W76" s="137"/>
    </row>
    <row r="77" spans="1:23" s="135" customFormat="1" ht="24.75" customHeight="1" x14ac:dyDescent="0.4">
      <c r="A77" s="135" t="s">
        <v>286</v>
      </c>
      <c r="B77" s="136">
        <f>'CNT (from FS Analysis)'!N215</f>
        <v>3809.88</v>
      </c>
      <c r="C77" s="136">
        <v>0</v>
      </c>
      <c r="D77" s="136">
        <f>DEP!F52</f>
        <v>700.99</v>
      </c>
      <c r="E77" s="136">
        <v>0</v>
      </c>
      <c r="F77" s="136">
        <f>'BSC (Dome)'!G59</f>
        <v>1747.74</v>
      </c>
      <c r="G77" s="136">
        <f t="shared" si="0"/>
        <v>6258.61</v>
      </c>
      <c r="H77" s="137">
        <f>G77/$G$93</f>
        <v>1.5875024949743497E-2</v>
      </c>
      <c r="I77" s="137"/>
      <c r="J77" s="135" t="s">
        <v>286</v>
      </c>
      <c r="K77" s="136">
        <v>4427.49</v>
      </c>
      <c r="L77" s="136">
        <v>0</v>
      </c>
      <c r="M77" s="136">
        <v>678.14</v>
      </c>
      <c r="N77" s="136">
        <v>0</v>
      </c>
      <c r="O77" s="136"/>
      <c r="P77" s="136">
        <f t="shared" si="2"/>
        <v>5105.63</v>
      </c>
      <c r="Q77" s="137">
        <f>P77/$P$93</f>
        <v>1.4989899287646333E-2</v>
      </c>
      <c r="R77" s="137"/>
      <c r="S77" s="136">
        <f>G77-P77</f>
        <v>1152.9799999999996</v>
      </c>
      <c r="T77" s="136"/>
      <c r="U77" s="137">
        <f>G77/P77</f>
        <v>1.2258252164767129</v>
      </c>
      <c r="V77" s="136"/>
      <c r="W77" s="137">
        <f t="shared" si="6"/>
        <v>0.22582521647671294</v>
      </c>
    </row>
    <row r="78" spans="1:23" s="135" customFormat="1" ht="24.75" customHeight="1" x14ac:dyDescent="0.4">
      <c r="A78" s="135" t="s">
        <v>287</v>
      </c>
      <c r="B78" s="136">
        <f>'CNT (from FS Analysis)'!N216</f>
        <v>45349.2</v>
      </c>
      <c r="C78" s="136">
        <f>BPM!F38</f>
        <v>2695.7799999999997</v>
      </c>
      <c r="D78" s="136">
        <f>DEP!F53</f>
        <v>2874.1800000000003</v>
      </c>
      <c r="E78" s="136">
        <f>Lending!F9</f>
        <v>875.43</v>
      </c>
      <c r="F78" s="136">
        <f>'BSC (Dome)'!G60</f>
        <v>2051.52</v>
      </c>
      <c r="G78" s="136">
        <f t="shared" si="0"/>
        <v>53846.109999999993</v>
      </c>
      <c r="H78" s="137">
        <f>G78/$G$93</f>
        <v>0.13658118011773104</v>
      </c>
      <c r="I78" s="137"/>
      <c r="J78" s="135" t="s">
        <v>287</v>
      </c>
      <c r="K78" s="136">
        <v>45359.77</v>
      </c>
      <c r="L78" s="136">
        <v>3145.19</v>
      </c>
      <c r="M78" s="136">
        <v>3089.63</v>
      </c>
      <c r="N78" s="136">
        <v>650.12</v>
      </c>
      <c r="O78" s="136">
        <v>1846.25</v>
      </c>
      <c r="P78" s="136">
        <f t="shared" si="2"/>
        <v>54090.96</v>
      </c>
      <c r="Q78" s="137">
        <f>P78/$P$93</f>
        <v>0.15880861769695537</v>
      </c>
      <c r="R78" s="137"/>
      <c r="S78" s="136">
        <f t="shared" ref="S78:S92" si="27">G78-P78</f>
        <v>-244.85000000000582</v>
      </c>
      <c r="T78" s="136"/>
      <c r="U78" s="137">
        <f t="shared" ref="U78:U91" si="28">G78/P78</f>
        <v>0.99547336560489952</v>
      </c>
      <c r="V78" s="136"/>
      <c r="W78" s="137">
        <f t="shared" si="6"/>
        <v>-4.5266343951004817E-3</v>
      </c>
    </row>
    <row r="79" spans="1:23" s="135" customFormat="1" ht="24.75" customHeight="1" x14ac:dyDescent="0.4">
      <c r="A79" s="135" t="s">
        <v>409</v>
      </c>
      <c r="B79" s="136">
        <v>0</v>
      </c>
      <c r="C79" s="136">
        <v>0</v>
      </c>
      <c r="D79" s="136">
        <v>0</v>
      </c>
      <c r="E79" s="136">
        <v>0</v>
      </c>
      <c r="F79" s="136">
        <f>'BSC (Dome)'!G61</f>
        <v>2073.2600000000002</v>
      </c>
      <c r="G79" s="136">
        <f t="shared" ref="G79" si="29">SUM(B79:F79)</f>
        <v>2073.2600000000002</v>
      </c>
      <c r="H79" s="137">
        <f>G79/$G$93</f>
        <v>5.2588440927466657E-3</v>
      </c>
      <c r="I79" s="137"/>
      <c r="J79" s="135" t="s">
        <v>409</v>
      </c>
      <c r="K79" s="136">
        <v>0</v>
      </c>
      <c r="L79" s="136">
        <v>0</v>
      </c>
      <c r="M79" s="136">
        <v>0</v>
      </c>
      <c r="N79" s="136">
        <v>0</v>
      </c>
      <c r="O79" s="136">
        <v>1900.29</v>
      </c>
      <c r="P79" s="136">
        <f t="shared" ref="P79" si="30">SUM(K79:O79)</f>
        <v>1900.29</v>
      </c>
      <c r="Q79" s="137">
        <f>P79/$P$93</f>
        <v>5.5791656891160243E-3</v>
      </c>
      <c r="R79" s="137"/>
      <c r="S79" s="136">
        <f t="shared" ref="S79" si="31">G79-P79</f>
        <v>172.97000000000025</v>
      </c>
      <c r="T79" s="136"/>
      <c r="U79" s="137">
        <f t="shared" ref="U79" si="32">G79/P79</f>
        <v>1.0910229491288173</v>
      </c>
      <c r="V79" s="136"/>
      <c r="W79" s="137">
        <f t="shared" ref="W79" si="33">U79-1</f>
        <v>9.1022949128817254E-2</v>
      </c>
    </row>
    <row r="80" spans="1:23" s="135" customFormat="1" ht="24.75" customHeight="1" x14ac:dyDescent="0.4">
      <c r="A80" s="135" t="s">
        <v>288</v>
      </c>
      <c r="B80" s="136">
        <f>'CNT (from FS Analysis)'!N218</f>
        <v>3556.43</v>
      </c>
      <c r="C80" s="136">
        <v>0</v>
      </c>
      <c r="D80" s="136">
        <v>0</v>
      </c>
      <c r="E80" s="136">
        <f>Lending!F10</f>
        <v>109</v>
      </c>
      <c r="F80" s="136">
        <f>'BSC (Dome)'!G65</f>
        <v>975.56000000000006</v>
      </c>
      <c r="G80" s="136">
        <f t="shared" si="0"/>
        <v>4640.99</v>
      </c>
      <c r="H80" s="137">
        <f>G80/$G$93</f>
        <v>1.1771916134974072E-2</v>
      </c>
      <c r="I80" s="137"/>
      <c r="J80" s="135" t="s">
        <v>288</v>
      </c>
      <c r="K80" s="136">
        <v>261.39</v>
      </c>
      <c r="L80" s="136">
        <v>0</v>
      </c>
      <c r="M80" s="136">
        <v>0</v>
      </c>
      <c r="N80" s="136">
        <v>0</v>
      </c>
      <c r="O80" s="136">
        <f>2049.5+27.56</f>
        <v>2077.06</v>
      </c>
      <c r="P80" s="136">
        <f t="shared" si="2"/>
        <v>2338.4499999999998</v>
      </c>
      <c r="Q80" s="137">
        <f>P80/$P$93</f>
        <v>6.8655836770773766E-3</v>
      </c>
      <c r="R80" s="137"/>
      <c r="S80" s="136">
        <f t="shared" si="27"/>
        <v>2302.54</v>
      </c>
      <c r="T80" s="136"/>
      <c r="U80" s="137">
        <f t="shared" si="28"/>
        <v>1.9846436742286557</v>
      </c>
      <c r="V80" s="136"/>
      <c r="W80" s="137">
        <f t="shared" si="6"/>
        <v>0.98464367422865573</v>
      </c>
    </row>
    <row r="81" spans="1:23" s="135" customFormat="1" ht="24.75" customHeight="1" x14ac:dyDescent="0.4">
      <c r="A81" s="135" t="s">
        <v>406</v>
      </c>
      <c r="B81" s="136">
        <f>'CNT (from FS Analysis)'!N219</f>
        <v>182031.43000000002</v>
      </c>
      <c r="C81" s="136">
        <f>BPM!F39</f>
        <v>27198.97</v>
      </c>
      <c r="D81" s="136">
        <f>DEP!F56</f>
        <v>32315.68</v>
      </c>
      <c r="E81" s="136">
        <v>0</v>
      </c>
      <c r="F81" s="136">
        <f>'BSC (Dome)'!G66</f>
        <v>2200</v>
      </c>
      <c r="G81" s="136">
        <f t="shared" si="0"/>
        <v>243746.08000000002</v>
      </c>
      <c r="H81" s="137">
        <f>G81/$G$93</f>
        <v>0.61826429533109983</v>
      </c>
      <c r="I81" s="137"/>
      <c r="J81" s="135" t="s">
        <v>406</v>
      </c>
      <c r="K81" s="136">
        <v>132287.96</v>
      </c>
      <c r="L81" s="136">
        <v>21624.959999999999</v>
      </c>
      <c r="M81" s="136">
        <v>28923</v>
      </c>
      <c r="N81" s="136">
        <v>1156.25</v>
      </c>
      <c r="O81" s="136">
        <v>7483.57</v>
      </c>
      <c r="P81" s="136">
        <f t="shared" si="2"/>
        <v>191475.74</v>
      </c>
      <c r="Q81" s="137">
        <f>P81/$P$93</f>
        <v>0.56216413226723327</v>
      </c>
      <c r="R81" s="137"/>
      <c r="S81" s="136">
        <f t="shared" si="27"/>
        <v>52270.340000000026</v>
      </c>
      <c r="T81" s="136"/>
      <c r="U81" s="137">
        <f t="shared" si="28"/>
        <v>1.2729867501752443</v>
      </c>
      <c r="V81" s="136"/>
      <c r="W81" s="137">
        <f t="shared" si="6"/>
        <v>0.27298675017524432</v>
      </c>
    </row>
    <row r="82" spans="1:23" s="135" customFormat="1" ht="24.75" customHeight="1" x14ac:dyDescent="0.4">
      <c r="A82" s="135" t="s">
        <v>407</v>
      </c>
      <c r="B82" s="136">
        <v>0</v>
      </c>
      <c r="C82" s="136">
        <v>0</v>
      </c>
      <c r="D82" s="136">
        <v>0</v>
      </c>
      <c r="E82" s="136">
        <v>0</v>
      </c>
      <c r="F82" s="136">
        <f>'BSC (Dome)'!G67</f>
        <v>6000</v>
      </c>
      <c r="G82" s="136">
        <f t="shared" ref="G82:G83" si="34">SUM(B82:F82)</f>
        <v>6000</v>
      </c>
      <c r="H82" s="137">
        <f t="shared" ref="H82:H83" si="35">G82/$G$93</f>
        <v>1.5219058177208835E-2</v>
      </c>
      <c r="I82" s="137"/>
      <c r="J82" s="135" t="s">
        <v>407</v>
      </c>
      <c r="K82" s="136">
        <v>0</v>
      </c>
      <c r="L82" s="136">
        <v>0</v>
      </c>
      <c r="M82" s="136">
        <v>0</v>
      </c>
      <c r="N82" s="136">
        <v>0</v>
      </c>
      <c r="O82" s="136">
        <v>2901</v>
      </c>
      <c r="P82" s="136">
        <f t="shared" ref="P82:P83" si="36">SUM(K82:O82)</f>
        <v>2901</v>
      </c>
      <c r="Q82" s="137">
        <f t="shared" ref="Q82:Q83" si="37">P82/$P$93</f>
        <v>8.5172050919204902E-3</v>
      </c>
      <c r="R82" s="137"/>
      <c r="S82" s="136">
        <f t="shared" ref="S82:S83" si="38">G82-P82</f>
        <v>3099</v>
      </c>
      <c r="T82" s="136"/>
      <c r="U82" s="137">
        <f t="shared" ref="U82:U83" si="39">G82/P82</f>
        <v>2.0682523267838677</v>
      </c>
      <c r="V82" s="136"/>
      <c r="W82" s="137">
        <f t="shared" ref="W82:W83" si="40">U82-1</f>
        <v>1.0682523267838677</v>
      </c>
    </row>
    <row r="83" spans="1:23" s="135" customFormat="1" ht="24.75" customHeight="1" x14ac:dyDescent="0.4">
      <c r="A83" s="135" t="s">
        <v>408</v>
      </c>
      <c r="B83" s="136">
        <v>0</v>
      </c>
      <c r="C83" s="136">
        <v>0</v>
      </c>
      <c r="D83" s="136">
        <v>0</v>
      </c>
      <c r="E83" s="136">
        <v>0</v>
      </c>
      <c r="F83" s="136">
        <v>0</v>
      </c>
      <c r="G83" s="136">
        <f t="shared" si="34"/>
        <v>0</v>
      </c>
      <c r="H83" s="137">
        <f t="shared" si="35"/>
        <v>0</v>
      </c>
      <c r="I83" s="137"/>
      <c r="J83" s="135" t="s">
        <v>408</v>
      </c>
      <c r="K83" s="136">
        <v>0</v>
      </c>
      <c r="L83" s="136">
        <v>0</v>
      </c>
      <c r="M83" s="136">
        <v>0</v>
      </c>
      <c r="N83" s="136">
        <v>0</v>
      </c>
      <c r="O83" s="136"/>
      <c r="P83" s="136">
        <f t="shared" si="36"/>
        <v>0</v>
      </c>
      <c r="Q83" s="137">
        <f t="shared" si="37"/>
        <v>0</v>
      </c>
      <c r="R83" s="137"/>
      <c r="S83" s="136">
        <f t="shared" si="38"/>
        <v>0</v>
      </c>
      <c r="T83" s="136"/>
      <c r="U83" s="137" t="e">
        <f t="shared" si="39"/>
        <v>#DIV/0!</v>
      </c>
      <c r="V83" s="136"/>
      <c r="W83" s="137" t="e">
        <f t="shared" si="40"/>
        <v>#DIV/0!</v>
      </c>
    </row>
    <row r="84" spans="1:23" s="135" customFormat="1" ht="24.75" customHeight="1" x14ac:dyDescent="0.4">
      <c r="A84" s="135" t="s">
        <v>291</v>
      </c>
      <c r="B84" s="136">
        <f>'CNT (from FS Analysis)'!N222</f>
        <v>3888.88</v>
      </c>
      <c r="C84" s="136">
        <f>BPM!F40</f>
        <v>820.8</v>
      </c>
      <c r="D84" s="136">
        <f>DEP!F55</f>
        <v>1250</v>
      </c>
      <c r="E84" s="136">
        <v>0</v>
      </c>
      <c r="F84" s="136">
        <f>'BSC (Dome)'!G63:G63</f>
        <v>664.05</v>
      </c>
      <c r="G84" s="136">
        <f t="shared" si="0"/>
        <v>6623.7300000000005</v>
      </c>
      <c r="H84" s="137">
        <f t="shared" ref="H84:H92" si="41">G84/$G$93</f>
        <v>1.6801155370020582E-2</v>
      </c>
      <c r="I84" s="137"/>
      <c r="J84" s="135" t="s">
        <v>291</v>
      </c>
      <c r="K84" s="136">
        <v>2562.1999999999998</v>
      </c>
      <c r="L84" s="136">
        <v>0</v>
      </c>
      <c r="M84" s="136">
        <v>0</v>
      </c>
      <c r="N84" s="136">
        <v>0</v>
      </c>
      <c r="O84" s="136">
        <v>1952.56</v>
      </c>
      <c r="P84" s="136">
        <f t="shared" si="2"/>
        <v>4514.76</v>
      </c>
      <c r="Q84" s="137">
        <f t="shared" ref="Q84:Q92" si="42">P84/$P$93</f>
        <v>1.3255131630747657E-2</v>
      </c>
      <c r="R84" s="137"/>
      <c r="S84" s="136">
        <f t="shared" si="27"/>
        <v>2108.9700000000003</v>
      </c>
      <c r="T84" s="136"/>
      <c r="U84" s="137">
        <f t="shared" si="28"/>
        <v>1.4671278207479468</v>
      </c>
      <c r="V84" s="136"/>
      <c r="W84" s="137">
        <f t="shared" si="6"/>
        <v>0.46712782074794679</v>
      </c>
    </row>
    <row r="85" spans="1:23" s="135" customFormat="1" ht="24.75" customHeight="1" x14ac:dyDescent="0.4">
      <c r="A85" s="135" t="s">
        <v>292</v>
      </c>
      <c r="B85" s="136">
        <f>'CNT (from FS Analysis)'!N226</f>
        <v>15321.1</v>
      </c>
      <c r="C85" s="136">
        <f>BPM!F41</f>
        <v>587.5</v>
      </c>
      <c r="D85" s="136">
        <f>DEP!F57</f>
        <v>577.5</v>
      </c>
      <c r="E85" s="136">
        <v>0</v>
      </c>
      <c r="F85" s="136">
        <v>0</v>
      </c>
      <c r="G85" s="136">
        <f t="shared" si="0"/>
        <v>16486.099999999999</v>
      </c>
      <c r="H85" s="137">
        <f t="shared" si="41"/>
        <v>4.1817152502547091E-2</v>
      </c>
      <c r="I85" s="137"/>
      <c r="J85" s="135" t="s">
        <v>292</v>
      </c>
      <c r="K85" s="136">
        <v>16095.92</v>
      </c>
      <c r="L85" s="136">
        <v>900.75</v>
      </c>
      <c r="M85" s="136">
        <v>1887.75</v>
      </c>
      <c r="N85" s="136">
        <v>0</v>
      </c>
      <c r="O85" s="136"/>
      <c r="P85" s="136">
        <f t="shared" si="2"/>
        <v>18884.419999999998</v>
      </c>
      <c r="Q85" s="137">
        <f t="shared" si="42"/>
        <v>5.5443804957588806E-2</v>
      </c>
      <c r="R85" s="137"/>
      <c r="S85" s="136">
        <f t="shared" si="27"/>
        <v>-2398.3199999999997</v>
      </c>
      <c r="T85" s="136"/>
      <c r="U85" s="137">
        <f t="shared" si="28"/>
        <v>0.87300007095796428</v>
      </c>
      <c r="V85" s="136"/>
      <c r="W85" s="137">
        <f t="shared" si="6"/>
        <v>-0.12699992904203572</v>
      </c>
    </row>
    <row r="86" spans="1:23" s="135" customFormat="1" ht="24.75" customHeight="1" x14ac:dyDescent="0.4">
      <c r="A86" s="135" t="s">
        <v>293</v>
      </c>
      <c r="B86" s="136">
        <f>'CNT (from FS Analysis)'!N227</f>
        <v>10932.88</v>
      </c>
      <c r="C86" s="136">
        <f>0</f>
        <v>0</v>
      </c>
      <c r="D86" s="136">
        <v>0</v>
      </c>
      <c r="E86" s="136">
        <v>0</v>
      </c>
      <c r="F86" s="136">
        <v>0</v>
      </c>
      <c r="G86" s="136">
        <f t="shared" si="0"/>
        <v>10932.88</v>
      </c>
      <c r="H86" s="137">
        <f t="shared" si="41"/>
        <v>2.7731356127407153E-2</v>
      </c>
      <c r="I86" s="137"/>
      <c r="J86" s="135" t="s">
        <v>293</v>
      </c>
      <c r="K86" s="136">
        <v>9664.7000000000007</v>
      </c>
      <c r="L86" s="136">
        <v>0</v>
      </c>
      <c r="M86" s="136">
        <v>0</v>
      </c>
      <c r="N86" s="136">
        <v>0</v>
      </c>
      <c r="O86" s="136"/>
      <c r="P86" s="136">
        <f t="shared" si="2"/>
        <v>9664.7000000000007</v>
      </c>
      <c r="Q86" s="137">
        <f t="shared" si="42"/>
        <v>2.83751230788983E-2</v>
      </c>
      <c r="R86" s="137"/>
      <c r="S86" s="136">
        <f t="shared" si="27"/>
        <v>1268.1799999999985</v>
      </c>
      <c r="T86" s="136"/>
      <c r="U86" s="137">
        <f t="shared" si="28"/>
        <v>1.131217730503792</v>
      </c>
      <c r="V86" s="136"/>
      <c r="W86" s="137">
        <f t="shared" si="6"/>
        <v>0.13121773050379204</v>
      </c>
    </row>
    <row r="87" spans="1:23" s="135" customFormat="1" ht="24.75" customHeight="1" x14ac:dyDescent="0.4">
      <c r="A87" s="135" t="s">
        <v>333</v>
      </c>
      <c r="B87" s="136">
        <v>0</v>
      </c>
      <c r="C87" s="136">
        <f>0</f>
        <v>0</v>
      </c>
      <c r="D87" s="136">
        <f>DEP!F54</f>
        <v>300</v>
      </c>
      <c r="E87" s="136">
        <v>0</v>
      </c>
      <c r="F87" s="136">
        <f>'BSC (Dome)'!G62</f>
        <v>750</v>
      </c>
      <c r="G87" s="136">
        <f>SUM(B87:F87)</f>
        <v>1050</v>
      </c>
      <c r="H87" s="137">
        <f t="shared" si="41"/>
        <v>2.6633351810115462E-3</v>
      </c>
      <c r="I87" s="137"/>
      <c r="J87" s="135" t="s">
        <v>333</v>
      </c>
      <c r="K87" s="136">
        <v>0</v>
      </c>
      <c r="L87" s="136">
        <v>0</v>
      </c>
      <c r="M87" s="136">
        <v>0</v>
      </c>
      <c r="N87" s="136">
        <v>0</v>
      </c>
      <c r="O87" s="136"/>
      <c r="P87" s="136">
        <f>SUM(K87:O87)</f>
        <v>0</v>
      </c>
      <c r="Q87" s="137">
        <f t="shared" si="42"/>
        <v>0</v>
      </c>
      <c r="R87" s="137"/>
      <c r="S87" s="136">
        <f t="shared" si="27"/>
        <v>1050</v>
      </c>
      <c r="T87" s="136"/>
      <c r="U87" s="146">
        <v>0</v>
      </c>
      <c r="V87" s="136"/>
      <c r="W87" s="153">
        <v>0</v>
      </c>
    </row>
    <row r="88" spans="1:23" s="135" customFormat="1" ht="24.75" customHeight="1" x14ac:dyDescent="0.4">
      <c r="A88" s="135" t="s">
        <v>422</v>
      </c>
      <c r="B88" s="136">
        <v>0</v>
      </c>
      <c r="C88" s="136">
        <v>0</v>
      </c>
      <c r="D88" s="136">
        <v>0</v>
      </c>
      <c r="E88" s="136">
        <v>0</v>
      </c>
      <c r="F88" s="136">
        <f>'BSC (Dome)'!G64</f>
        <v>10329.9</v>
      </c>
      <c r="G88" s="136">
        <f>SUM(B88:F88)</f>
        <v>10329.9</v>
      </c>
      <c r="H88" s="137">
        <f t="shared" si="41"/>
        <v>2.6201891510791591E-2</v>
      </c>
      <c r="I88" s="137"/>
      <c r="J88" s="135" t="s">
        <v>422</v>
      </c>
      <c r="K88" s="136">
        <v>512.11</v>
      </c>
      <c r="L88" s="136">
        <v>0</v>
      </c>
      <c r="M88" s="136">
        <v>0</v>
      </c>
      <c r="N88" s="136">
        <v>0</v>
      </c>
      <c r="O88" s="136">
        <v>6832.94</v>
      </c>
      <c r="P88" s="136">
        <f>SUM(K88:O88)</f>
        <v>7345.0499999999993</v>
      </c>
      <c r="Q88" s="137">
        <f t="shared" si="42"/>
        <v>2.1564735353467972E-2</v>
      </c>
      <c r="R88" s="137"/>
      <c r="S88" s="136">
        <f t="shared" si="27"/>
        <v>2984.8500000000004</v>
      </c>
      <c r="T88" s="136"/>
      <c r="U88" s="146">
        <f t="shared" si="28"/>
        <v>1.4063757224253068</v>
      </c>
      <c r="V88" s="136"/>
      <c r="W88" s="153">
        <v>0</v>
      </c>
    </row>
    <row r="89" spans="1:23" s="135" customFormat="1" ht="24.75" customHeight="1" x14ac:dyDescent="0.4">
      <c r="A89" s="135" t="s">
        <v>294</v>
      </c>
      <c r="B89" s="136">
        <f>'CNT (from FS Analysis)'!N229</f>
        <v>10853.32</v>
      </c>
      <c r="C89" s="136">
        <f>0</f>
        <v>0</v>
      </c>
      <c r="D89" s="136">
        <f>0</f>
        <v>0</v>
      </c>
      <c r="E89" s="136">
        <v>0</v>
      </c>
      <c r="F89" s="136">
        <v>0</v>
      </c>
      <c r="G89" s="136">
        <f t="shared" si="0"/>
        <v>10853.32</v>
      </c>
      <c r="H89" s="137">
        <f t="shared" si="41"/>
        <v>2.7529551415977366E-2</v>
      </c>
      <c r="I89" s="137"/>
      <c r="J89" s="135" t="s">
        <v>294</v>
      </c>
      <c r="K89" s="136">
        <v>40000</v>
      </c>
      <c r="L89" s="136">
        <v>0</v>
      </c>
      <c r="M89" s="136">
        <v>0</v>
      </c>
      <c r="N89" s="136">
        <v>0</v>
      </c>
      <c r="O89" s="136"/>
      <c r="P89" s="136">
        <f t="shared" si="2"/>
        <v>40000</v>
      </c>
      <c r="Q89" s="137">
        <f t="shared" si="42"/>
        <v>0.11743819499373305</v>
      </c>
      <c r="R89" s="137"/>
      <c r="S89" s="136">
        <f t="shared" si="27"/>
        <v>-29146.68</v>
      </c>
      <c r="T89" s="136"/>
      <c r="U89" s="137">
        <f t="shared" si="28"/>
        <v>0.27133299999999999</v>
      </c>
      <c r="V89" s="136"/>
      <c r="W89" s="137">
        <f t="shared" ref="W89:W93" si="43">U89-1</f>
        <v>-0.72866699999999995</v>
      </c>
    </row>
    <row r="90" spans="1:23" s="135" customFormat="1" ht="24.75" customHeight="1" x14ac:dyDescent="0.4">
      <c r="A90" s="135" t="s">
        <v>295</v>
      </c>
      <c r="B90" s="136">
        <f>'CNT (from FS Analysis)'!N230</f>
        <v>12307.45</v>
      </c>
      <c r="C90" s="136">
        <v>0</v>
      </c>
      <c r="D90" s="136">
        <v>0</v>
      </c>
      <c r="E90" s="136">
        <v>0</v>
      </c>
      <c r="F90" s="136">
        <v>0</v>
      </c>
      <c r="G90" s="136">
        <f t="shared" si="0"/>
        <v>12307.45</v>
      </c>
      <c r="H90" s="137">
        <f t="shared" si="41"/>
        <v>3.1217966260514814E-2</v>
      </c>
      <c r="I90" s="137"/>
      <c r="J90" s="135" t="s">
        <v>295</v>
      </c>
      <c r="K90" s="136">
        <v>0</v>
      </c>
      <c r="L90" s="136">
        <v>0</v>
      </c>
      <c r="M90" s="136">
        <v>0</v>
      </c>
      <c r="N90" s="136">
        <v>0</v>
      </c>
      <c r="O90" s="136"/>
      <c r="P90" s="136">
        <f t="shared" si="2"/>
        <v>0</v>
      </c>
      <c r="Q90" s="137">
        <f t="shared" si="42"/>
        <v>0</v>
      </c>
      <c r="R90" s="137"/>
      <c r="S90" s="136">
        <f t="shared" si="27"/>
        <v>12307.45</v>
      </c>
      <c r="T90" s="136"/>
      <c r="U90" s="146">
        <v>0</v>
      </c>
      <c r="V90" s="136"/>
      <c r="W90" s="153">
        <v>0</v>
      </c>
    </row>
    <row r="91" spans="1:23" s="135" customFormat="1" ht="24.75" customHeight="1" x14ac:dyDescent="0.4">
      <c r="A91" s="135" t="s">
        <v>296</v>
      </c>
      <c r="B91" s="136">
        <f>'CNT (from FS Analysis)'!N231</f>
        <v>1714.28</v>
      </c>
      <c r="C91" s="136">
        <v>0</v>
      </c>
      <c r="D91" s="136">
        <v>0</v>
      </c>
      <c r="E91" s="136">
        <v>0</v>
      </c>
      <c r="F91" s="136">
        <v>0</v>
      </c>
      <c r="G91" s="136">
        <f t="shared" ref="G91:G95" si="44">SUM(B91:F91)</f>
        <v>1714.28</v>
      </c>
      <c r="H91" s="137">
        <f t="shared" si="41"/>
        <v>4.3482878420042599E-3</v>
      </c>
      <c r="I91" s="137"/>
      <c r="J91" s="135" t="s">
        <v>296</v>
      </c>
      <c r="K91" s="136">
        <v>2383.69</v>
      </c>
      <c r="L91" s="136">
        <v>0</v>
      </c>
      <c r="M91" s="136">
        <v>0</v>
      </c>
      <c r="N91" s="136">
        <v>0</v>
      </c>
      <c r="O91" s="136"/>
      <c r="P91" s="136">
        <f t="shared" ref="P91:P95" si="45">SUM(K91:O91)</f>
        <v>2383.69</v>
      </c>
      <c r="Q91" s="137">
        <f t="shared" si="42"/>
        <v>6.9984062756152888E-3</v>
      </c>
      <c r="R91" s="137"/>
      <c r="S91" s="136">
        <f t="shared" si="27"/>
        <v>-669.41000000000008</v>
      </c>
      <c r="T91" s="136"/>
      <c r="U91" s="137">
        <f t="shared" si="28"/>
        <v>0.71917069753197771</v>
      </c>
      <c r="V91" s="136"/>
      <c r="W91" s="137">
        <f t="shared" si="43"/>
        <v>-0.28082930246802229</v>
      </c>
    </row>
    <row r="92" spans="1:23" s="135" customFormat="1" ht="24.75" customHeight="1" x14ac:dyDescent="0.4">
      <c r="A92" s="135" t="s">
        <v>297</v>
      </c>
      <c r="B92" s="136">
        <f>'CNT (from FS Analysis)'!N232</f>
        <v>7379.82</v>
      </c>
      <c r="C92" s="136">
        <v>0</v>
      </c>
      <c r="D92" s="136">
        <v>0</v>
      </c>
      <c r="E92" s="136">
        <v>0</v>
      </c>
      <c r="F92" s="136">
        <v>0</v>
      </c>
      <c r="G92" s="136">
        <f t="shared" si="44"/>
        <v>7379.82</v>
      </c>
      <c r="H92" s="137">
        <f t="shared" si="41"/>
        <v>1.871898498622155E-2</v>
      </c>
      <c r="I92" s="137"/>
      <c r="J92" s="135" t="s">
        <v>297</v>
      </c>
      <c r="K92" s="136">
        <v>0</v>
      </c>
      <c r="L92" s="136">
        <v>0</v>
      </c>
      <c r="M92" s="136">
        <v>0</v>
      </c>
      <c r="N92" s="136">
        <v>0</v>
      </c>
      <c r="O92" s="136"/>
      <c r="P92" s="136">
        <f t="shared" si="45"/>
        <v>0</v>
      </c>
      <c r="Q92" s="137">
        <f t="shared" si="42"/>
        <v>0</v>
      </c>
      <c r="R92" s="137"/>
      <c r="S92" s="136">
        <f t="shared" si="27"/>
        <v>7379.82</v>
      </c>
      <c r="T92" s="136"/>
      <c r="U92" s="146">
        <v>0</v>
      </c>
      <c r="V92" s="136"/>
      <c r="W92" s="153">
        <v>0</v>
      </c>
    </row>
    <row r="93" spans="1:23" s="135" customFormat="1" ht="24.75" customHeight="1" x14ac:dyDescent="0.4">
      <c r="A93" s="145" t="s">
        <v>299</v>
      </c>
      <c r="B93" s="147">
        <f>SUM(B77:B92)</f>
        <v>297144.67000000004</v>
      </c>
      <c r="C93" s="147">
        <f t="shared" ref="C93:F93" si="46">SUM(C77:C92)</f>
        <v>31303.05</v>
      </c>
      <c r="D93" s="147">
        <f t="shared" si="46"/>
        <v>38018.35</v>
      </c>
      <c r="E93" s="147">
        <f t="shared" si="46"/>
        <v>984.43</v>
      </c>
      <c r="F93" s="147">
        <f t="shared" si="46"/>
        <v>26792.03</v>
      </c>
      <c r="G93" s="147">
        <f t="shared" si="44"/>
        <v>394242.53</v>
      </c>
      <c r="H93" s="148">
        <f>SUM(H77:H92)</f>
        <v>0.99999999999999989</v>
      </c>
      <c r="I93" s="149"/>
      <c r="J93" s="145" t="s">
        <v>299</v>
      </c>
      <c r="K93" s="147">
        <f>SUM(K77:K92)</f>
        <v>253555.23</v>
      </c>
      <c r="L93" s="147">
        <f t="shared" ref="L93:O93" si="47">SUM(L77:L92)</f>
        <v>25670.899999999998</v>
      </c>
      <c r="M93" s="147">
        <f t="shared" si="47"/>
        <v>34578.520000000004</v>
      </c>
      <c r="N93" s="147">
        <f t="shared" si="47"/>
        <v>1806.37</v>
      </c>
      <c r="O93" s="147">
        <f t="shared" si="47"/>
        <v>24993.67</v>
      </c>
      <c r="P93" s="147">
        <f t="shared" si="45"/>
        <v>340604.69</v>
      </c>
      <c r="Q93" s="148">
        <f>SUM(Q77:Q92)</f>
        <v>1</v>
      </c>
      <c r="R93" s="149"/>
      <c r="S93" s="147">
        <f>G93-P93</f>
        <v>53637.840000000026</v>
      </c>
      <c r="T93" s="147"/>
      <c r="U93" s="154">
        <f>G93/P93</f>
        <v>1.1574782778240664</v>
      </c>
      <c r="V93" s="147"/>
      <c r="W93" s="148">
        <f t="shared" si="43"/>
        <v>0.15747827782406643</v>
      </c>
    </row>
    <row r="94" spans="1:23" s="135" customFormat="1" ht="24.75" customHeight="1" x14ac:dyDescent="0.4">
      <c r="B94" s="136"/>
      <c r="C94" s="136"/>
      <c r="D94" s="136"/>
      <c r="E94" s="136"/>
      <c r="F94" s="136"/>
      <c r="G94" s="136">
        <f t="shared" si="44"/>
        <v>0</v>
      </c>
      <c r="K94" s="136"/>
      <c r="L94" s="136"/>
      <c r="M94" s="136"/>
      <c r="N94" s="136"/>
      <c r="O94" s="136"/>
      <c r="P94" s="136">
        <f t="shared" si="45"/>
        <v>0</v>
      </c>
      <c r="S94" s="136"/>
      <c r="T94" s="136"/>
      <c r="U94" s="150"/>
      <c r="V94" s="136"/>
      <c r="W94" s="137"/>
    </row>
    <row r="95" spans="1:23" s="135" customFormat="1" ht="24.75" customHeight="1" thickBot="1" x14ac:dyDescent="0.45">
      <c r="A95" s="145" t="s">
        <v>300</v>
      </c>
      <c r="B95" s="151">
        <f>B49+B74+B93</f>
        <v>2604380.52</v>
      </c>
      <c r="C95" s="151">
        <f t="shared" ref="C95:F95" si="48">C49+C74+C93</f>
        <v>35557.659999999996</v>
      </c>
      <c r="D95" s="151">
        <f t="shared" si="48"/>
        <v>467910.81</v>
      </c>
      <c r="E95" s="151">
        <f t="shared" si="48"/>
        <v>984.43</v>
      </c>
      <c r="F95" s="151">
        <f t="shared" si="48"/>
        <v>325562.69999999995</v>
      </c>
      <c r="G95" s="151">
        <f t="shared" si="44"/>
        <v>3434396.12</v>
      </c>
      <c r="J95" s="145" t="s">
        <v>300</v>
      </c>
      <c r="K95" s="151">
        <f>K49+K74+K93</f>
        <v>2692952.84</v>
      </c>
      <c r="L95" s="151">
        <f t="shared" ref="L95:O95" si="49">L49+L74+L93</f>
        <v>31715.46</v>
      </c>
      <c r="M95" s="151">
        <f t="shared" si="49"/>
        <v>423773.98000000004</v>
      </c>
      <c r="N95" s="151">
        <f t="shared" si="49"/>
        <v>1806.37</v>
      </c>
      <c r="O95" s="151">
        <f t="shared" si="49"/>
        <v>344585.10999999993</v>
      </c>
      <c r="P95" s="151">
        <f t="shared" si="45"/>
        <v>3494833.76</v>
      </c>
      <c r="S95" s="151">
        <f>G95-P95</f>
        <v>-60437.639999999665</v>
      </c>
      <c r="T95" s="151"/>
      <c r="U95" s="155">
        <f>G95/P95</f>
        <v>0.98270657657833782</v>
      </c>
      <c r="V95" s="151"/>
      <c r="W95" s="152">
        <v>0</v>
      </c>
    </row>
    <row r="96" spans="1:23" s="135" customFormat="1" ht="24.75" customHeight="1" x14ac:dyDescent="0.4">
      <c r="B96" s="136"/>
      <c r="C96" s="136"/>
      <c r="D96" s="136"/>
      <c r="E96" s="136"/>
      <c r="F96" s="136"/>
      <c r="G96" s="136"/>
      <c r="K96" s="136"/>
      <c r="L96" s="136"/>
      <c r="M96" s="136"/>
      <c r="N96" s="136"/>
      <c r="O96" s="136"/>
      <c r="P96" s="136"/>
      <c r="S96" s="138"/>
      <c r="T96" s="138"/>
      <c r="U96" s="150"/>
      <c r="V96" s="138"/>
      <c r="W96" s="150"/>
    </row>
    <row r="97" spans="1:24" s="135" customFormat="1" ht="24.75" customHeight="1" x14ac:dyDescent="0.4">
      <c r="A97" s="145" t="s">
        <v>310</v>
      </c>
      <c r="B97" s="136"/>
      <c r="C97" s="136"/>
      <c r="D97" s="136"/>
      <c r="E97" s="136"/>
      <c r="F97" s="136"/>
      <c r="G97" s="136"/>
      <c r="J97" s="145" t="s">
        <v>310</v>
      </c>
      <c r="K97" s="136"/>
      <c r="L97" s="136"/>
      <c r="M97" s="136"/>
      <c r="N97" s="136"/>
      <c r="O97" s="136"/>
      <c r="P97" s="136"/>
      <c r="S97" s="138"/>
      <c r="T97" s="138"/>
      <c r="U97" s="139"/>
      <c r="V97" s="139"/>
      <c r="W97" s="139"/>
      <c r="X97" s="139"/>
    </row>
    <row r="98" spans="1:24" s="135" customFormat="1" ht="24.75" customHeight="1" x14ac:dyDescent="0.4">
      <c r="A98" s="135" t="s">
        <v>303</v>
      </c>
      <c r="B98" s="136">
        <f>'CNT (from FS Analysis)'!N237</f>
        <v>50000</v>
      </c>
      <c r="C98" s="136">
        <v>0</v>
      </c>
      <c r="D98" s="136">
        <f>DEP!F63</f>
        <v>50000</v>
      </c>
      <c r="E98" s="136">
        <v>0</v>
      </c>
      <c r="F98" s="136">
        <f>'BSC (Dome)'!G75+'BSC (Dome)'!G76</f>
        <v>24000</v>
      </c>
      <c r="G98" s="136">
        <f>SUM(B98:F98)</f>
        <v>124000</v>
      </c>
      <c r="H98" s="137"/>
      <c r="I98" s="137"/>
      <c r="J98" s="135" t="s">
        <v>303</v>
      </c>
      <c r="K98" s="136">
        <f>12500+12500+12500+12500</f>
        <v>50000</v>
      </c>
      <c r="L98" s="136">
        <v>0</v>
      </c>
      <c r="M98" s="136">
        <f>12500+12500+12500+12500</f>
        <v>50000</v>
      </c>
      <c r="N98" s="136">
        <v>0</v>
      </c>
      <c r="O98" s="136">
        <f>2200</f>
        <v>2200</v>
      </c>
      <c r="P98" s="136">
        <f>SUM(K98:O98)</f>
        <v>102200</v>
      </c>
      <c r="Q98" s="137"/>
      <c r="R98" s="137"/>
      <c r="S98" s="136">
        <f>G98-P98</f>
        <v>21800</v>
      </c>
      <c r="T98" s="136"/>
      <c r="U98" s="139"/>
      <c r="V98" s="139"/>
      <c r="W98" s="139"/>
      <c r="X98" s="139"/>
    </row>
    <row r="99" spans="1:24" s="135" customFormat="1" ht="24.75" customHeight="1" x14ac:dyDescent="0.4">
      <c r="A99" s="135" t="s">
        <v>304</v>
      </c>
      <c r="B99" s="136">
        <f>'CNT (from FS Analysis)'!N238</f>
        <v>137583.75</v>
      </c>
      <c r="C99" s="136">
        <v>0</v>
      </c>
      <c r="D99" s="136">
        <v>0</v>
      </c>
      <c r="E99" s="136">
        <v>0</v>
      </c>
      <c r="F99" s="136">
        <v>0</v>
      </c>
      <c r="G99" s="136">
        <f t="shared" ref="G99:G107" si="50">SUM(B99:F99)</f>
        <v>137583.75</v>
      </c>
      <c r="H99" s="137"/>
      <c r="I99" s="137"/>
      <c r="J99" s="135" t="s">
        <v>304</v>
      </c>
      <c r="K99" s="136">
        <v>136422.5</v>
      </c>
      <c r="L99" s="136">
        <v>0</v>
      </c>
      <c r="M99" s="136">
        <v>0</v>
      </c>
      <c r="N99" s="136">
        <v>0</v>
      </c>
      <c r="O99" s="136">
        <v>0</v>
      </c>
      <c r="P99" s="136">
        <f t="shared" ref="P99" si="51">SUM(K99:O99)</f>
        <v>136422.5</v>
      </c>
      <c r="Q99" s="137"/>
      <c r="R99" s="137"/>
      <c r="S99" s="136">
        <f t="shared" ref="S99:S104" si="52">G99-P99</f>
        <v>1161.25</v>
      </c>
      <c r="T99" s="136"/>
      <c r="U99" s="139"/>
      <c r="V99" s="139"/>
      <c r="W99" s="139"/>
      <c r="X99" s="139"/>
    </row>
    <row r="100" spans="1:24" s="135" customFormat="1" ht="24.75" customHeight="1" x14ac:dyDescent="0.4">
      <c r="A100" s="135" t="s">
        <v>367</v>
      </c>
      <c r="B100" s="136">
        <v>0</v>
      </c>
      <c r="C100" s="136">
        <f>-BPM!F46</f>
        <v>-137583.75</v>
      </c>
      <c r="D100" s="136">
        <v>0</v>
      </c>
      <c r="E100" s="136">
        <v>0</v>
      </c>
      <c r="F100" s="136">
        <v>0</v>
      </c>
      <c r="G100" s="136"/>
      <c r="H100" s="137"/>
      <c r="I100" s="137"/>
      <c r="J100" s="135" t="s">
        <v>367</v>
      </c>
      <c r="K100" s="136">
        <v>0</v>
      </c>
      <c r="L100" s="136">
        <v>-136422.5</v>
      </c>
      <c r="M100" s="136">
        <v>0</v>
      </c>
      <c r="N100" s="136">
        <v>0</v>
      </c>
      <c r="O100" s="136">
        <v>0</v>
      </c>
      <c r="P100" s="136"/>
      <c r="Q100" s="137"/>
      <c r="R100" s="137"/>
      <c r="S100" s="136">
        <f t="shared" si="52"/>
        <v>0</v>
      </c>
      <c r="T100" s="136"/>
      <c r="U100" s="139"/>
      <c r="V100" s="139"/>
      <c r="W100" s="139"/>
      <c r="X100" s="139"/>
    </row>
    <row r="101" spans="1:24" s="135" customFormat="1" ht="24.75" customHeight="1" x14ac:dyDescent="0.4">
      <c r="A101" s="135" t="s">
        <v>305</v>
      </c>
      <c r="B101" s="136">
        <f>'CNT (from FS Analysis)'!N239</f>
        <v>41987.5</v>
      </c>
      <c r="C101" s="136">
        <v>0</v>
      </c>
      <c r="D101" s="136">
        <v>0</v>
      </c>
      <c r="E101" s="136">
        <v>0</v>
      </c>
      <c r="F101" s="136">
        <v>0</v>
      </c>
      <c r="G101" s="136">
        <f t="shared" si="50"/>
        <v>41987.5</v>
      </c>
      <c r="H101" s="137"/>
      <c r="I101" s="137"/>
      <c r="J101" s="135" t="s">
        <v>305</v>
      </c>
      <c r="K101" s="136">
        <v>0</v>
      </c>
      <c r="L101" s="136">
        <v>0</v>
      </c>
      <c r="M101" s="136">
        <v>0</v>
      </c>
      <c r="N101" s="136">
        <v>0</v>
      </c>
      <c r="O101" s="136">
        <v>0</v>
      </c>
      <c r="P101" s="136">
        <f t="shared" ref="P101:P107" si="53">SUM(K101:O101)</f>
        <v>0</v>
      </c>
      <c r="Q101" s="137"/>
      <c r="R101" s="137"/>
      <c r="S101" s="136">
        <f t="shared" si="52"/>
        <v>41987.5</v>
      </c>
      <c r="T101" s="136"/>
      <c r="U101" s="139"/>
      <c r="V101" s="139"/>
      <c r="W101" s="139"/>
      <c r="X101" s="139"/>
    </row>
    <row r="102" spans="1:24" s="135" customFormat="1" ht="24.75" customHeight="1" x14ac:dyDescent="0.4">
      <c r="A102" s="135" t="s">
        <v>306</v>
      </c>
      <c r="B102" s="136">
        <f>'CNT (from FS Analysis)'!N240</f>
        <v>100537.82</v>
      </c>
      <c r="C102" s="136">
        <f>-BPM!F47</f>
        <v>219.74</v>
      </c>
      <c r="D102" s="136">
        <f>DEP!F64</f>
        <v>10035.49</v>
      </c>
      <c r="E102" s="136">
        <f>Lending!F14</f>
        <v>12363.16</v>
      </c>
      <c r="F102" s="136"/>
      <c r="G102" s="136">
        <f t="shared" si="50"/>
        <v>123156.21000000002</v>
      </c>
      <c r="H102" s="137"/>
      <c r="I102" s="137"/>
      <c r="J102" s="135" t="s">
        <v>306</v>
      </c>
      <c r="K102" s="136">
        <v>73242.75</v>
      </c>
      <c r="L102" s="136">
        <v>0</v>
      </c>
      <c r="M102" s="136">
        <v>0</v>
      </c>
      <c r="N102" s="136">
        <v>46039.64</v>
      </c>
      <c r="O102" s="136">
        <v>0</v>
      </c>
      <c r="P102" s="136">
        <f t="shared" si="53"/>
        <v>119282.39</v>
      </c>
      <c r="Q102" s="137"/>
      <c r="R102" s="137"/>
      <c r="S102" s="136">
        <f t="shared" si="52"/>
        <v>3873.8200000000215</v>
      </c>
      <c r="T102" s="136"/>
      <c r="U102" s="139"/>
      <c r="V102" s="139"/>
      <c r="W102" s="139"/>
      <c r="X102" s="139"/>
    </row>
    <row r="103" spans="1:24" s="135" customFormat="1" ht="24.75" customHeight="1" x14ac:dyDescent="0.4">
      <c r="A103" s="135" t="s">
        <v>307</v>
      </c>
      <c r="B103" s="136">
        <f>'CNT (from FS Analysis)'!N241</f>
        <v>-51594.239999999998</v>
      </c>
      <c r="C103" s="136">
        <v>0</v>
      </c>
      <c r="D103" s="136">
        <v>0</v>
      </c>
      <c r="E103" s="136">
        <f>Lending!F15</f>
        <v>-2491.39</v>
      </c>
      <c r="F103" s="136">
        <f>'BSC (Dome)'!G78+'BSC (Dome)'!G79</f>
        <v>-38892.720000000001</v>
      </c>
      <c r="G103" s="136">
        <f t="shared" si="50"/>
        <v>-92978.35</v>
      </c>
      <c r="H103" s="137"/>
      <c r="I103" s="137"/>
      <c r="J103" s="135" t="s">
        <v>307</v>
      </c>
      <c r="K103" s="136">
        <v>-108884.63</v>
      </c>
      <c r="L103" s="136">
        <v>0</v>
      </c>
      <c r="M103" s="136">
        <v>0</v>
      </c>
      <c r="N103" s="136">
        <v>-5651.36</v>
      </c>
      <c r="O103" s="136">
        <f>-15494.57-24234.84</f>
        <v>-39729.410000000003</v>
      </c>
      <c r="P103" s="136">
        <f t="shared" si="53"/>
        <v>-154265.40000000002</v>
      </c>
      <c r="Q103" s="137"/>
      <c r="R103" s="137"/>
      <c r="S103" s="136">
        <f t="shared" si="52"/>
        <v>61287.050000000017</v>
      </c>
      <c r="T103" s="136"/>
      <c r="U103" s="139"/>
      <c r="V103" s="139"/>
      <c r="W103" s="139"/>
      <c r="X103" s="139"/>
    </row>
    <row r="104" spans="1:24" s="135" customFormat="1" ht="24.75" customHeight="1" x14ac:dyDescent="0.4">
      <c r="A104" s="135" t="s">
        <v>308</v>
      </c>
      <c r="B104" s="136">
        <f>'CNT (from FS Analysis)'!N242</f>
        <v>0.1</v>
      </c>
      <c r="C104" s="136">
        <v>0</v>
      </c>
      <c r="D104" s="136">
        <v>0</v>
      </c>
      <c r="E104" s="136"/>
      <c r="F104" s="136">
        <f>'BSC (Dome)'!G77</f>
        <v>1833.08</v>
      </c>
      <c r="G104" s="136">
        <f t="shared" si="50"/>
        <v>1833.1799999999998</v>
      </c>
      <c r="H104" s="137"/>
      <c r="I104" s="137"/>
      <c r="J104" s="135" t="s">
        <v>308</v>
      </c>
      <c r="K104" s="136">
        <v>0</v>
      </c>
      <c r="L104" s="136">
        <v>0</v>
      </c>
      <c r="M104" s="136">
        <v>0</v>
      </c>
      <c r="N104" s="136">
        <v>0</v>
      </c>
      <c r="O104" s="136">
        <v>0</v>
      </c>
      <c r="P104" s="136">
        <f t="shared" si="53"/>
        <v>0</v>
      </c>
      <c r="Q104" s="137"/>
      <c r="R104" s="137"/>
      <c r="S104" s="136">
        <f t="shared" si="52"/>
        <v>1833.1799999999998</v>
      </c>
      <c r="T104" s="136"/>
      <c r="U104" s="139"/>
      <c r="V104" s="139"/>
      <c r="W104" s="139"/>
      <c r="X104" s="139"/>
    </row>
    <row r="105" spans="1:24" s="135" customFormat="1" ht="24.75" customHeight="1" x14ac:dyDescent="0.4">
      <c r="A105" s="145" t="s">
        <v>309</v>
      </c>
      <c r="B105" s="147">
        <f>SUM(B98:B104)</f>
        <v>278514.93</v>
      </c>
      <c r="C105" s="147">
        <f>SUM(C98:C104)</f>
        <v>-137364.01</v>
      </c>
      <c r="D105" s="147">
        <f>SUM(D98:D104)</f>
        <v>60035.49</v>
      </c>
      <c r="E105" s="147">
        <f>SUM(E98:E104)</f>
        <v>9871.77</v>
      </c>
      <c r="F105" s="147">
        <f>SUM(F98:F104)</f>
        <v>-13059.640000000001</v>
      </c>
      <c r="G105" s="147">
        <f t="shared" si="50"/>
        <v>197998.53999999995</v>
      </c>
      <c r="H105" s="137"/>
      <c r="I105" s="137"/>
      <c r="J105" s="145" t="s">
        <v>309</v>
      </c>
      <c r="K105" s="147">
        <f>SUM(K98:K104)</f>
        <v>150780.62</v>
      </c>
      <c r="L105" s="147">
        <f>SUM(L98:L104)</f>
        <v>-136422.5</v>
      </c>
      <c r="M105" s="147">
        <f>SUM(M98:M104)</f>
        <v>50000</v>
      </c>
      <c r="N105" s="147">
        <f>SUM(N98:N104)</f>
        <v>40388.28</v>
      </c>
      <c r="O105" s="147">
        <f>SUM(O98:O104)</f>
        <v>-37529.410000000003</v>
      </c>
      <c r="P105" s="147">
        <f t="shared" si="53"/>
        <v>67216.989999999991</v>
      </c>
      <c r="Q105" s="137"/>
      <c r="R105" s="137"/>
      <c r="S105" s="147">
        <f>G105-P105</f>
        <v>130781.54999999996</v>
      </c>
      <c r="T105" s="147"/>
      <c r="U105" s="139"/>
      <c r="V105" s="139"/>
      <c r="W105" s="139"/>
      <c r="X105" s="139"/>
    </row>
    <row r="106" spans="1:24" s="135" customFormat="1" ht="24.75" customHeight="1" x14ac:dyDescent="0.4">
      <c r="A106" s="145"/>
      <c r="B106" s="136"/>
      <c r="C106" s="136"/>
      <c r="D106" s="136"/>
      <c r="E106" s="136"/>
      <c r="F106" s="136"/>
      <c r="G106" s="136">
        <f t="shared" si="50"/>
        <v>0</v>
      </c>
      <c r="H106" s="137"/>
      <c r="I106" s="137"/>
      <c r="J106" s="145"/>
      <c r="K106" s="136"/>
      <c r="L106" s="136"/>
      <c r="M106" s="136"/>
      <c r="N106" s="136"/>
      <c r="O106" s="136"/>
      <c r="P106" s="136">
        <f t="shared" si="53"/>
        <v>0</v>
      </c>
      <c r="Q106" s="137"/>
      <c r="R106" s="137"/>
      <c r="S106" s="136"/>
      <c r="T106" s="136"/>
      <c r="U106" s="139"/>
      <c r="V106" s="139"/>
      <c r="W106" s="139"/>
      <c r="X106" s="139"/>
    </row>
    <row r="107" spans="1:24" s="135" customFormat="1" ht="24.75" customHeight="1" thickBot="1" x14ac:dyDescent="0.45">
      <c r="A107" s="145" t="s">
        <v>302</v>
      </c>
      <c r="B107" s="156">
        <f>B35-B95+B105</f>
        <v>243691.7799994087</v>
      </c>
      <c r="C107" s="156">
        <f>C35-C95+C105</f>
        <v>113969.35999999373</v>
      </c>
      <c r="D107" s="156">
        <f>D35-D95+D105</f>
        <v>122655.33000000002</v>
      </c>
      <c r="E107" s="156">
        <f>E35-E95+E105</f>
        <v>8887.34</v>
      </c>
      <c r="F107" s="156">
        <f>F35-F95+F105</f>
        <v>137232.27000000008</v>
      </c>
      <c r="G107" s="156">
        <f t="shared" si="50"/>
        <v>626436.07999940263</v>
      </c>
      <c r="J107" s="145" t="s">
        <v>302</v>
      </c>
      <c r="K107" s="156">
        <f>K35-K95+K105</f>
        <v>-737906.8500001143</v>
      </c>
      <c r="L107" s="156">
        <f>L35-L95+L105</f>
        <v>37968.55000000351</v>
      </c>
      <c r="M107" s="156">
        <f>M35-M95+M105</f>
        <v>345796.93999999989</v>
      </c>
      <c r="N107" s="156">
        <f>N35-N95+N105</f>
        <v>38581.909999999996</v>
      </c>
      <c r="O107" s="156">
        <f>O35-O95+O105</f>
        <v>160771.02000000011</v>
      </c>
      <c r="P107" s="156">
        <f t="shared" si="53"/>
        <v>-154788.43000011079</v>
      </c>
      <c r="S107" s="156">
        <f>G107-P107</f>
        <v>781224.50999951339</v>
      </c>
      <c r="T107" s="157"/>
      <c r="U107" s="139"/>
      <c r="V107" s="139"/>
      <c r="W107" s="139"/>
      <c r="X107" s="139"/>
    </row>
    <row r="108" spans="1:24" ht="15.75" thickTop="1" x14ac:dyDescent="0.25">
      <c r="B108" s="125"/>
      <c r="C108" s="125"/>
      <c r="D108" s="125"/>
      <c r="E108" s="125"/>
      <c r="F108" s="125"/>
      <c r="G108" s="125"/>
      <c r="V108" s="124"/>
      <c r="X108" s="124"/>
    </row>
    <row r="109" spans="1:24" x14ac:dyDescent="0.25">
      <c r="V109" s="124"/>
      <c r="X109" s="124"/>
    </row>
    <row r="110" spans="1:24" x14ac:dyDescent="0.25">
      <c r="A110" t="s">
        <v>372</v>
      </c>
      <c r="B110" s="93">
        <v>243691.78</v>
      </c>
      <c r="C110" s="93">
        <v>113969.36</v>
      </c>
      <c r="D110" s="93">
        <v>122655.33</v>
      </c>
      <c r="E110" s="93">
        <v>8887.34</v>
      </c>
      <c r="F110" s="93">
        <v>135065.87</v>
      </c>
      <c r="G110" s="125">
        <f>SUM(B110:F110)</f>
        <v>624269.68000000005</v>
      </c>
      <c r="K110" s="93">
        <v>-737906.85</v>
      </c>
      <c r="L110" s="93">
        <v>37968.550000000003</v>
      </c>
      <c r="M110" s="93">
        <v>345796.94</v>
      </c>
      <c r="N110" s="93">
        <v>38581.910000000003</v>
      </c>
      <c r="O110" s="93">
        <v>160771.01999999999</v>
      </c>
      <c r="P110" s="93"/>
      <c r="U110" s="134"/>
      <c r="W110" s="134"/>
    </row>
    <row r="111" spans="1:24" x14ac:dyDescent="0.25">
      <c r="B111" s="93">
        <f t="shared" ref="B111:D111" si="54">B107-B110</f>
        <v>-5.9130252338945866E-7</v>
      </c>
      <c r="C111" s="93">
        <f t="shared" si="54"/>
        <v>-6.2718754634261131E-9</v>
      </c>
      <c r="D111" s="93">
        <f t="shared" si="54"/>
        <v>0</v>
      </c>
      <c r="E111" s="93">
        <f>E107-E110</f>
        <v>0</v>
      </c>
      <c r="F111" s="93">
        <f>F107-F110</f>
        <v>2166.4000000000815</v>
      </c>
      <c r="G111" s="93">
        <f>G107-G110</f>
        <v>2166.3999994025799</v>
      </c>
      <c r="K111" s="93">
        <f>K107-K110</f>
        <v>-1.1431984603404999E-7</v>
      </c>
      <c r="L111" s="93">
        <f t="shared" ref="L111:O111" si="55">L107-L110</f>
        <v>3.5070115700364113E-9</v>
      </c>
      <c r="M111" s="93">
        <f t="shared" si="55"/>
        <v>0</v>
      </c>
      <c r="N111" s="93">
        <f t="shared" si="55"/>
        <v>0</v>
      </c>
      <c r="O111" s="93">
        <f t="shared" si="55"/>
        <v>0</v>
      </c>
      <c r="P111" s="93"/>
      <c r="U111" s="134"/>
      <c r="W111" s="134"/>
    </row>
    <row r="112" spans="1:24" x14ac:dyDescent="0.25">
      <c r="B112" s="93"/>
      <c r="C112" s="93"/>
      <c r="D112" s="93"/>
      <c r="E112" s="93"/>
      <c r="U112" s="134"/>
      <c r="W112" s="134"/>
    </row>
    <row r="113" spans="2:5" x14ac:dyDescent="0.25">
      <c r="B113" s="93"/>
      <c r="C113" s="93"/>
      <c r="D113" s="93"/>
      <c r="E113" s="93"/>
    </row>
    <row r="114" spans="2:5" x14ac:dyDescent="0.25">
      <c r="B114" s="93"/>
      <c r="C114" s="93"/>
      <c r="D114" s="93"/>
      <c r="E114" s="93"/>
    </row>
    <row r="115" spans="2:5" x14ac:dyDescent="0.25">
      <c r="B115" s="93"/>
      <c r="C115" s="93"/>
      <c r="D115" s="93"/>
      <c r="E115" s="93"/>
    </row>
    <row r="116" spans="2:5" x14ac:dyDescent="0.25">
      <c r="B116" s="93"/>
      <c r="C116" s="93"/>
      <c r="D116" s="93"/>
      <c r="E116" s="93"/>
    </row>
    <row r="117" spans="2:5" x14ac:dyDescent="0.25">
      <c r="B117" s="93"/>
      <c r="C117" s="93"/>
      <c r="D117" s="93"/>
      <c r="E117" s="93"/>
    </row>
  </sheetData>
  <mergeCells count="11">
    <mergeCell ref="A2:W2"/>
    <mergeCell ref="A3:W3"/>
    <mergeCell ref="A8:H8"/>
    <mergeCell ref="J5:Q5"/>
    <mergeCell ref="J8:Q8"/>
    <mergeCell ref="S5:W8"/>
    <mergeCell ref="A6:H6"/>
    <mergeCell ref="J6:Q6"/>
    <mergeCell ref="A7:H7"/>
    <mergeCell ref="J7:Q7"/>
    <mergeCell ref="A5:H5"/>
  </mergeCells>
  <pageMargins left="0.7" right="0.7" top="0.75" bottom="0.75" header="0.3" footer="0.3"/>
  <pageSetup scale="34" orientation="landscape" r:id="rId1"/>
  <rowBreaks count="1" manualBreakCount="1">
    <brk id="49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216F-AB07-41D7-AACD-99990CC37DF5}">
  <dimension ref="A1:R249"/>
  <sheetViews>
    <sheetView zoomScale="110" zoomScaleNormal="110" workbookViewId="0">
      <pane xSplit="1" ySplit="4" topLeftCell="B198" activePane="bottomRight" state="frozen"/>
      <selection pane="topRight" activeCell="B1" sqref="B1"/>
      <selection pane="bottomLeft" activeCell="A5" sqref="A5"/>
      <selection pane="bottomRight" activeCell="E250" sqref="E250"/>
    </sheetView>
  </sheetViews>
  <sheetFormatPr defaultColWidth="9.140625" defaultRowHeight="15" x14ac:dyDescent="0.25"/>
  <cols>
    <col min="1" max="1" width="88.5703125" style="3" bestFit="1" customWidth="1"/>
    <col min="2" max="2" width="22.42578125" style="2" hidden="1" customWidth="1"/>
    <col min="3" max="3" width="24" style="3" hidden="1" customWidth="1"/>
    <col min="4" max="4" width="24.28515625" style="3" hidden="1" customWidth="1"/>
    <col min="5" max="5" width="24" style="3" customWidth="1"/>
    <col min="6" max="7" width="24" style="3" hidden="1" customWidth="1"/>
    <col min="8" max="8" width="23.42578125" style="3" hidden="1" customWidth="1"/>
    <col min="9" max="9" width="24" style="3" hidden="1" customWidth="1"/>
    <col min="10" max="11" width="23" style="3" hidden="1" customWidth="1"/>
    <col min="12" max="13" width="25.5703125" style="3" hidden="1" customWidth="1"/>
    <col min="14" max="14" width="26.28515625" style="3" customWidth="1"/>
    <col min="15" max="15" width="12.5703125" style="3" bestFit="1" customWidth="1"/>
    <col min="16" max="17" width="26.28515625" style="3" hidden="1" customWidth="1"/>
    <col min="18" max="16384" width="9.140625" style="3"/>
  </cols>
  <sheetData>
    <row r="1" spans="1:17" ht="18.75" x14ac:dyDescent="0.3">
      <c r="A1" s="1" t="s">
        <v>0</v>
      </c>
    </row>
    <row r="2" spans="1:17" ht="19.5" thickBot="1" x14ac:dyDescent="0.35">
      <c r="A2" s="1"/>
    </row>
    <row r="3" spans="1:17" ht="15.75" thickBot="1" x14ac:dyDescent="0.3">
      <c r="B3" s="4">
        <v>43131</v>
      </c>
      <c r="C3" s="4">
        <v>43159</v>
      </c>
      <c r="D3" s="4">
        <v>43190</v>
      </c>
      <c r="E3" s="4">
        <v>43220</v>
      </c>
      <c r="F3" s="4">
        <v>43251</v>
      </c>
      <c r="G3" s="4">
        <v>43281</v>
      </c>
      <c r="H3" s="4">
        <v>43312</v>
      </c>
      <c r="I3" s="4">
        <v>43343</v>
      </c>
      <c r="J3" s="4">
        <v>43373</v>
      </c>
      <c r="K3" s="4">
        <v>43404</v>
      </c>
      <c r="L3" s="4">
        <v>43434</v>
      </c>
      <c r="M3" s="4">
        <v>43465</v>
      </c>
      <c r="N3" s="5" t="s">
        <v>1</v>
      </c>
      <c r="P3" s="5" t="s">
        <v>2</v>
      </c>
      <c r="Q3" s="5" t="s">
        <v>3</v>
      </c>
    </row>
    <row r="4" spans="1:17" ht="15.75" thickBot="1" x14ac:dyDescent="0.3">
      <c r="A4" s="6" t="s">
        <v>4</v>
      </c>
      <c r="P4" s="5" t="s">
        <v>5</v>
      </c>
      <c r="Q4" s="5" t="s">
        <v>6</v>
      </c>
    </row>
    <row r="5" spans="1:17" x14ac:dyDescent="0.25">
      <c r="A5" s="3" t="s">
        <v>7</v>
      </c>
      <c r="B5" s="7">
        <f t="shared" ref="B5:E6" si="0">+B102+B113</f>
        <v>154563428.67000002</v>
      </c>
      <c r="C5" s="7">
        <f t="shared" si="0"/>
        <v>109601727.78999999</v>
      </c>
      <c r="D5" s="7">
        <f>+D102+D113</f>
        <v>101069868.19</v>
      </c>
      <c r="E5" s="7">
        <f>+E102+E113</f>
        <v>92671539.059999987</v>
      </c>
      <c r="F5" s="7">
        <f>+F102+F113</f>
        <v>0</v>
      </c>
      <c r="G5" s="2">
        <f>G102+G113</f>
        <v>0</v>
      </c>
      <c r="H5" s="2">
        <f t="shared" ref="H5:M8" si="1">H102+H113</f>
        <v>0</v>
      </c>
      <c r="I5" s="2">
        <f>I102+I113</f>
        <v>0</v>
      </c>
      <c r="J5" s="2">
        <f t="shared" si="1"/>
        <v>0</v>
      </c>
      <c r="K5" s="2">
        <f>K102+K113</f>
        <v>0</v>
      </c>
      <c r="L5" s="2">
        <f t="shared" ref="L5:M5" si="2">L102+L113</f>
        <v>0</v>
      </c>
      <c r="M5" s="2">
        <f t="shared" si="2"/>
        <v>0</v>
      </c>
      <c r="N5" s="2">
        <f t="shared" ref="N5:N10" si="3">SUM(B5:M5)</f>
        <v>457906563.70999998</v>
      </c>
      <c r="P5" s="2">
        <f t="shared" ref="P5:P68" si="4">(N5-M5)/11</f>
        <v>41627869.42818182</v>
      </c>
      <c r="Q5" s="2">
        <f t="shared" ref="Q5:Q68" si="5">M5-P5</f>
        <v>-41627869.42818182</v>
      </c>
    </row>
    <row r="6" spans="1:17" x14ac:dyDescent="0.25">
      <c r="A6" s="3" t="s">
        <v>8</v>
      </c>
      <c r="B6" s="7">
        <f t="shared" si="0"/>
        <v>424529753.21999997</v>
      </c>
      <c r="C6" s="7">
        <f t="shared" si="0"/>
        <v>1212317398.3500001</v>
      </c>
      <c r="D6" s="7">
        <f>+D103+D114</f>
        <v>305312522.13</v>
      </c>
      <c r="E6" s="7">
        <f t="shared" si="0"/>
        <v>46941731.32</v>
      </c>
      <c r="F6" s="7">
        <f>+F103+F114</f>
        <v>0</v>
      </c>
      <c r="G6" s="2">
        <f>G103+G114</f>
        <v>0</v>
      </c>
      <c r="H6" s="2">
        <f t="shared" si="1"/>
        <v>0</v>
      </c>
      <c r="I6" s="2">
        <f t="shared" si="1"/>
        <v>0</v>
      </c>
      <c r="J6" s="2">
        <f t="shared" si="1"/>
        <v>0</v>
      </c>
      <c r="K6" s="2">
        <f t="shared" si="1"/>
        <v>0</v>
      </c>
      <c r="L6" s="2">
        <f t="shared" si="1"/>
        <v>0</v>
      </c>
      <c r="M6" s="2">
        <f t="shared" si="1"/>
        <v>0</v>
      </c>
      <c r="N6" s="2">
        <f t="shared" si="3"/>
        <v>1989101405.0200002</v>
      </c>
      <c r="P6" s="2">
        <f t="shared" si="4"/>
        <v>180827400.45636365</v>
      </c>
      <c r="Q6" s="2">
        <f t="shared" si="5"/>
        <v>-180827400.45636365</v>
      </c>
    </row>
    <row r="7" spans="1:17" x14ac:dyDescent="0.25">
      <c r="A7" s="3" t="s">
        <v>9</v>
      </c>
      <c r="B7" s="7">
        <f>B104+B115</f>
        <v>2884704.37</v>
      </c>
      <c r="C7" s="7">
        <f>C104+C115</f>
        <v>2596535.7200000002</v>
      </c>
      <c r="D7" s="7">
        <f>D104+D115</f>
        <v>622399.88</v>
      </c>
      <c r="E7" s="7">
        <f>E104+E115</f>
        <v>1945746.84</v>
      </c>
      <c r="F7" s="7">
        <f>F104+F115</f>
        <v>0</v>
      </c>
      <c r="G7" s="2">
        <f>G104+G115</f>
        <v>0</v>
      </c>
      <c r="H7" s="2">
        <f t="shared" si="1"/>
        <v>0</v>
      </c>
      <c r="I7" s="2">
        <f t="shared" si="1"/>
        <v>0</v>
      </c>
      <c r="J7" s="2">
        <f t="shared" si="1"/>
        <v>0</v>
      </c>
      <c r="K7" s="2">
        <f t="shared" si="1"/>
        <v>0</v>
      </c>
      <c r="L7" s="2">
        <f t="shared" si="1"/>
        <v>0</v>
      </c>
      <c r="M7" s="2">
        <f t="shared" si="1"/>
        <v>0</v>
      </c>
      <c r="N7" s="2">
        <f t="shared" si="3"/>
        <v>8049386.8099999996</v>
      </c>
      <c r="P7" s="2">
        <f t="shared" si="4"/>
        <v>731762.43727272726</v>
      </c>
      <c r="Q7" s="2">
        <f t="shared" si="5"/>
        <v>-731762.43727272726</v>
      </c>
    </row>
    <row r="8" spans="1:17" x14ac:dyDescent="0.25">
      <c r="A8" s="3" t="s">
        <v>10</v>
      </c>
      <c r="B8" s="7">
        <f>+B105</f>
        <v>3238349</v>
      </c>
      <c r="C8" s="7">
        <f>+C105</f>
        <v>1478660.42</v>
      </c>
      <c r="D8" s="7">
        <f>+D105+D116</f>
        <v>1427673</v>
      </c>
      <c r="E8" s="7">
        <f>+E105</f>
        <v>2167697.4500000002</v>
      </c>
      <c r="F8" s="7">
        <f>+F105</f>
        <v>0</v>
      </c>
      <c r="G8" s="8">
        <f t="shared" ref="G8:H8" si="6">G105</f>
        <v>0</v>
      </c>
      <c r="H8" s="8">
        <f t="shared" si="6"/>
        <v>0</v>
      </c>
      <c r="I8" s="8">
        <f>I105+I116</f>
        <v>0</v>
      </c>
      <c r="J8" s="8">
        <f>J105+J116</f>
        <v>0</v>
      </c>
      <c r="K8" s="8">
        <f t="shared" si="1"/>
        <v>0</v>
      </c>
      <c r="L8" s="8">
        <f t="shared" si="1"/>
        <v>0</v>
      </c>
      <c r="M8" s="8">
        <f t="shared" si="1"/>
        <v>0</v>
      </c>
      <c r="N8" s="2">
        <f t="shared" si="3"/>
        <v>8312379.8700000001</v>
      </c>
      <c r="P8" s="2">
        <f t="shared" si="4"/>
        <v>755670.89727272734</v>
      </c>
      <c r="Q8" s="2">
        <f t="shared" si="5"/>
        <v>-755670.89727272734</v>
      </c>
    </row>
    <row r="9" spans="1:17" x14ac:dyDescent="0.25">
      <c r="A9" s="3" t="s">
        <v>11</v>
      </c>
      <c r="B9" s="7">
        <f>+B109+B119</f>
        <v>85825</v>
      </c>
      <c r="C9" s="7">
        <f>+C109+C119</f>
        <v>579872.5</v>
      </c>
      <c r="D9" s="7">
        <f>+D109+D119</f>
        <v>108078.75</v>
      </c>
      <c r="E9" s="7">
        <f t="shared" ref="E9:M9" si="7">+E109+E119</f>
        <v>903549.14</v>
      </c>
      <c r="F9" s="7">
        <f>+F109+F119</f>
        <v>0</v>
      </c>
      <c r="G9" s="7">
        <f t="shared" si="7"/>
        <v>0</v>
      </c>
      <c r="H9" s="7">
        <f t="shared" si="7"/>
        <v>0</v>
      </c>
      <c r="I9" s="7">
        <f t="shared" si="7"/>
        <v>0</v>
      </c>
      <c r="J9" s="7">
        <f t="shared" si="7"/>
        <v>0</v>
      </c>
      <c r="K9" s="7">
        <f t="shared" si="7"/>
        <v>0</v>
      </c>
      <c r="L9" s="7">
        <f t="shared" si="7"/>
        <v>0</v>
      </c>
      <c r="M9" s="7">
        <f t="shared" si="7"/>
        <v>0</v>
      </c>
      <c r="N9" s="2">
        <f t="shared" si="3"/>
        <v>1677325.3900000001</v>
      </c>
      <c r="P9" s="2">
        <f t="shared" si="4"/>
        <v>152484.12636363637</v>
      </c>
      <c r="Q9" s="2">
        <f t="shared" si="5"/>
        <v>-152484.12636363637</v>
      </c>
    </row>
    <row r="10" spans="1:17" x14ac:dyDescent="0.25">
      <c r="A10" s="9" t="s">
        <v>12</v>
      </c>
      <c r="B10" s="7"/>
      <c r="C10" s="7"/>
      <c r="D10" s="7"/>
      <c r="E10" s="7">
        <f>E120+E121</f>
        <v>292312.5</v>
      </c>
      <c r="F10" s="7">
        <f t="shared" ref="F10:M10" si="8">F120+F121</f>
        <v>0</v>
      </c>
      <c r="G10" s="7">
        <f t="shared" si="8"/>
        <v>0</v>
      </c>
      <c r="H10" s="7">
        <f t="shared" si="8"/>
        <v>0</v>
      </c>
      <c r="I10" s="7">
        <f t="shared" si="8"/>
        <v>0</v>
      </c>
      <c r="J10" s="7">
        <f t="shared" si="8"/>
        <v>0</v>
      </c>
      <c r="K10" s="7">
        <f t="shared" si="8"/>
        <v>0</v>
      </c>
      <c r="L10" s="7">
        <f t="shared" si="8"/>
        <v>0</v>
      </c>
      <c r="M10" s="7">
        <f t="shared" si="8"/>
        <v>0</v>
      </c>
      <c r="N10" s="2">
        <f t="shared" si="3"/>
        <v>292312.5</v>
      </c>
      <c r="P10" s="2"/>
      <c r="Q10" s="2"/>
    </row>
    <row r="11" spans="1:17" x14ac:dyDescent="0.25">
      <c r="B11" s="10">
        <f>SUM(B5:B10)</f>
        <v>585302060.25999999</v>
      </c>
      <c r="C11" s="10">
        <f>SUM(C5:C10)</f>
        <v>1326574194.7800002</v>
      </c>
      <c r="D11" s="10">
        <f>SUM(D5:D10)</f>
        <v>408540541.94999999</v>
      </c>
      <c r="E11" s="11">
        <f>SUM(E5:E10)</f>
        <v>144922576.30999997</v>
      </c>
      <c r="F11" s="11">
        <f t="shared" ref="F11:M11" si="9">SUM(F5:F10)</f>
        <v>0</v>
      </c>
      <c r="G11" s="11">
        <f t="shared" si="9"/>
        <v>0</v>
      </c>
      <c r="H11" s="11">
        <f t="shared" si="9"/>
        <v>0</v>
      </c>
      <c r="I11" s="11">
        <f t="shared" si="9"/>
        <v>0</v>
      </c>
      <c r="J11" s="11">
        <f t="shared" si="9"/>
        <v>0</v>
      </c>
      <c r="K11" s="11">
        <f t="shared" si="9"/>
        <v>0</v>
      </c>
      <c r="L11" s="11">
        <f t="shared" si="9"/>
        <v>0</v>
      </c>
      <c r="M11" s="11">
        <f t="shared" si="9"/>
        <v>0</v>
      </c>
      <c r="N11" s="10">
        <f>SUM(N5:N10)</f>
        <v>2465339373.2999997</v>
      </c>
      <c r="P11" s="10">
        <f t="shared" si="4"/>
        <v>224121761.20909089</v>
      </c>
      <c r="Q11" s="10">
        <f t="shared" si="5"/>
        <v>-224121761.20909089</v>
      </c>
    </row>
    <row r="12" spans="1:17" x14ac:dyDescent="0.25">
      <c r="C12" s="2"/>
      <c r="D12" s="2"/>
      <c r="E12" s="12"/>
      <c r="F12" s="2"/>
      <c r="G12" s="2"/>
      <c r="H12" s="2"/>
      <c r="I12" s="2"/>
      <c r="J12" s="2"/>
      <c r="K12" s="2"/>
      <c r="L12" s="2"/>
      <c r="M12" s="2"/>
      <c r="P12" s="3">
        <f t="shared" si="4"/>
        <v>0</v>
      </c>
      <c r="Q12" s="3">
        <f t="shared" si="5"/>
        <v>0</v>
      </c>
    </row>
    <row r="13" spans="1:17" x14ac:dyDescent="0.25">
      <c r="A13" s="6" t="s">
        <v>13</v>
      </c>
      <c r="C13" s="2"/>
      <c r="D13" s="2"/>
      <c r="E13" s="12"/>
      <c r="F13" s="2"/>
      <c r="G13" s="2"/>
      <c r="H13" s="2"/>
      <c r="I13" s="2"/>
      <c r="J13" s="2"/>
      <c r="K13" s="2"/>
      <c r="L13" s="2"/>
      <c r="M13" s="2"/>
      <c r="P13" s="3">
        <f t="shared" si="4"/>
        <v>0</v>
      </c>
      <c r="Q13" s="3">
        <f t="shared" si="5"/>
        <v>0</v>
      </c>
    </row>
    <row r="14" spans="1:17" x14ac:dyDescent="0.25">
      <c r="A14" s="3" t="s">
        <v>14</v>
      </c>
      <c r="B14" s="7">
        <f t="shared" ref="B14:E17" si="10">+B126+B151+B157</f>
        <v>157842383.69</v>
      </c>
      <c r="C14" s="7">
        <f t="shared" si="10"/>
        <v>108846154.46000001</v>
      </c>
      <c r="D14" s="7">
        <f t="shared" si="10"/>
        <v>100906197.60999998</v>
      </c>
      <c r="E14" s="7">
        <f t="shared" si="10"/>
        <v>92373678.780000001</v>
      </c>
      <c r="F14" s="7">
        <f>+F126+F151+F157</f>
        <v>0</v>
      </c>
      <c r="G14" s="7">
        <f>G126+G151+G157</f>
        <v>0</v>
      </c>
      <c r="H14" s="2">
        <f t="shared" ref="H14:M17" si="11">H126+H151+H157</f>
        <v>0</v>
      </c>
      <c r="I14" s="2">
        <f t="shared" si="11"/>
        <v>0</v>
      </c>
      <c r="J14" s="2">
        <f t="shared" si="11"/>
        <v>0</v>
      </c>
      <c r="K14" s="2">
        <f t="shared" si="11"/>
        <v>0</v>
      </c>
      <c r="L14" s="2">
        <f t="shared" si="11"/>
        <v>0</v>
      </c>
      <c r="M14" s="2">
        <f t="shared" si="11"/>
        <v>0</v>
      </c>
      <c r="N14" s="2">
        <f t="shared" ref="N14:N19" si="12">SUM(B14:M14)</f>
        <v>459968414.53999996</v>
      </c>
      <c r="P14" s="2">
        <f t="shared" si="4"/>
        <v>41815310.412727267</v>
      </c>
      <c r="Q14" s="2">
        <f t="shared" si="5"/>
        <v>-41815310.412727267</v>
      </c>
    </row>
    <row r="15" spans="1:17" x14ac:dyDescent="0.25">
      <c r="A15" s="3" t="s">
        <v>15</v>
      </c>
      <c r="B15" s="7">
        <f t="shared" si="10"/>
        <v>422465521.94999993</v>
      </c>
      <c r="C15" s="7">
        <f t="shared" si="10"/>
        <v>1215546261.6300001</v>
      </c>
      <c r="D15" s="7">
        <f t="shared" si="10"/>
        <v>305678068.99000001</v>
      </c>
      <c r="E15" s="7">
        <f t="shared" si="10"/>
        <v>48482029.219999999</v>
      </c>
      <c r="F15" s="7">
        <f>+F127+F152+F158</f>
        <v>0</v>
      </c>
      <c r="G15" s="7">
        <f>G127+G152+G158</f>
        <v>0</v>
      </c>
      <c r="H15" s="2">
        <f t="shared" si="11"/>
        <v>0</v>
      </c>
      <c r="I15" s="2">
        <f t="shared" si="11"/>
        <v>0</v>
      </c>
      <c r="J15" s="2">
        <f t="shared" si="11"/>
        <v>0</v>
      </c>
      <c r="K15" s="2">
        <f t="shared" si="11"/>
        <v>0</v>
      </c>
      <c r="L15" s="2">
        <f t="shared" si="11"/>
        <v>0</v>
      </c>
      <c r="M15" s="2">
        <f t="shared" si="11"/>
        <v>0</v>
      </c>
      <c r="N15" s="2">
        <f t="shared" si="12"/>
        <v>1992171881.79</v>
      </c>
      <c r="P15" s="2">
        <f t="shared" si="4"/>
        <v>181106534.70818183</v>
      </c>
      <c r="Q15" s="2">
        <f t="shared" si="5"/>
        <v>-181106534.70818183</v>
      </c>
    </row>
    <row r="16" spans="1:17" x14ac:dyDescent="0.25">
      <c r="A16" s="3" t="s">
        <v>16</v>
      </c>
      <c r="B16" s="7">
        <f t="shared" si="10"/>
        <v>2842624.1900000004</v>
      </c>
      <c r="C16" s="7">
        <f t="shared" si="10"/>
        <v>2535222.7399999998</v>
      </c>
      <c r="D16" s="7">
        <f t="shared" si="10"/>
        <v>618326.57000000007</v>
      </c>
      <c r="E16" s="7">
        <f t="shared" si="10"/>
        <v>1945380.79</v>
      </c>
      <c r="F16" s="7">
        <f>+F128+F153+F159</f>
        <v>0</v>
      </c>
      <c r="G16" s="7">
        <f>G128+G153+G159</f>
        <v>0</v>
      </c>
      <c r="H16" s="2">
        <f>H128+H153+H159</f>
        <v>0</v>
      </c>
      <c r="I16" s="2">
        <f t="shared" si="11"/>
        <v>0</v>
      </c>
      <c r="J16" s="2">
        <f t="shared" si="11"/>
        <v>0</v>
      </c>
      <c r="K16" s="2">
        <f t="shared" si="11"/>
        <v>0</v>
      </c>
      <c r="L16" s="2">
        <f t="shared" si="11"/>
        <v>0</v>
      </c>
      <c r="M16" s="2">
        <f t="shared" si="11"/>
        <v>0</v>
      </c>
      <c r="N16" s="2">
        <f t="shared" si="12"/>
        <v>7941554.29</v>
      </c>
      <c r="P16" s="2">
        <f t="shared" si="4"/>
        <v>721959.48090909095</v>
      </c>
      <c r="Q16" s="2">
        <f t="shared" si="5"/>
        <v>-721959.48090909095</v>
      </c>
    </row>
    <row r="17" spans="1:17" x14ac:dyDescent="0.25">
      <c r="A17" s="3" t="s">
        <v>17</v>
      </c>
      <c r="B17" s="7">
        <f t="shared" si="10"/>
        <v>3972878.5</v>
      </c>
      <c r="C17" s="7">
        <f t="shared" si="10"/>
        <v>1516251.86</v>
      </c>
      <c r="D17" s="7">
        <f t="shared" si="10"/>
        <v>1446310.3</v>
      </c>
      <c r="E17" s="7">
        <f t="shared" si="10"/>
        <v>2111524.9700000002</v>
      </c>
      <c r="F17" s="7">
        <f>+F129+F154+F160</f>
        <v>0</v>
      </c>
      <c r="G17" s="7">
        <f>G129+G154+G160</f>
        <v>0</v>
      </c>
      <c r="H17" s="2">
        <f t="shared" si="11"/>
        <v>0</v>
      </c>
      <c r="I17" s="2">
        <f t="shared" si="11"/>
        <v>0</v>
      </c>
      <c r="J17" s="2">
        <f t="shared" si="11"/>
        <v>0</v>
      </c>
      <c r="K17" s="2">
        <f t="shared" si="11"/>
        <v>0</v>
      </c>
      <c r="L17" s="2">
        <f t="shared" si="11"/>
        <v>0</v>
      </c>
      <c r="M17" s="2">
        <f t="shared" si="11"/>
        <v>0</v>
      </c>
      <c r="N17" s="2">
        <f t="shared" si="12"/>
        <v>9046965.6300000008</v>
      </c>
      <c r="P17" s="2">
        <f t="shared" si="4"/>
        <v>822451.42090909102</v>
      </c>
      <c r="Q17" s="2">
        <f t="shared" si="5"/>
        <v>-822451.42090909102</v>
      </c>
    </row>
    <row r="18" spans="1:17" x14ac:dyDescent="0.25">
      <c r="A18" s="3" t="s">
        <v>18</v>
      </c>
      <c r="B18" s="7">
        <f>+B132+B166</f>
        <v>103200.43</v>
      </c>
      <c r="C18" s="7">
        <f>+C132+C166</f>
        <v>557565.63</v>
      </c>
      <c r="D18" s="7">
        <f>+D132+D166</f>
        <v>104546.19</v>
      </c>
      <c r="E18" s="7">
        <f>+E132+E166</f>
        <v>891459.31</v>
      </c>
      <c r="F18" s="7">
        <f>+F132+F166</f>
        <v>0</v>
      </c>
      <c r="G18" s="7">
        <f t="shared" ref="G18:M18" si="13">G132+G166</f>
        <v>0</v>
      </c>
      <c r="H18" s="2">
        <f t="shared" si="13"/>
        <v>0</v>
      </c>
      <c r="I18" s="2">
        <f t="shared" si="13"/>
        <v>0</v>
      </c>
      <c r="J18" s="2">
        <f t="shared" si="13"/>
        <v>0</v>
      </c>
      <c r="K18" s="2">
        <f t="shared" si="13"/>
        <v>0</v>
      </c>
      <c r="L18" s="2">
        <f t="shared" si="13"/>
        <v>0</v>
      </c>
      <c r="M18" s="2">
        <f t="shared" si="13"/>
        <v>0</v>
      </c>
      <c r="N18" s="2">
        <f t="shared" si="12"/>
        <v>1656771.56</v>
      </c>
      <c r="P18" s="2">
        <f t="shared" si="4"/>
        <v>150615.59636363637</v>
      </c>
      <c r="Q18" s="2">
        <f t="shared" si="5"/>
        <v>-150615.59636363637</v>
      </c>
    </row>
    <row r="19" spans="1:17" x14ac:dyDescent="0.25">
      <c r="A19" s="9" t="s">
        <v>12</v>
      </c>
      <c r="B19" s="7"/>
      <c r="C19" s="7"/>
      <c r="D19" s="7"/>
      <c r="E19" s="7">
        <f>E177+E178</f>
        <v>180989.71000000002</v>
      </c>
      <c r="F19" s="7">
        <f t="shared" ref="F19:M19" si="14">F177+F178</f>
        <v>0</v>
      </c>
      <c r="G19" s="7">
        <f t="shared" si="14"/>
        <v>0</v>
      </c>
      <c r="H19" s="7">
        <f t="shared" si="14"/>
        <v>0</v>
      </c>
      <c r="I19" s="7">
        <f t="shared" si="14"/>
        <v>0</v>
      </c>
      <c r="J19" s="7">
        <f t="shared" si="14"/>
        <v>0</v>
      </c>
      <c r="K19" s="7">
        <f t="shared" si="14"/>
        <v>0</v>
      </c>
      <c r="L19" s="7">
        <f t="shared" si="14"/>
        <v>0</v>
      </c>
      <c r="M19" s="7">
        <f t="shared" si="14"/>
        <v>0</v>
      </c>
      <c r="N19" s="2">
        <f t="shared" si="12"/>
        <v>180989.71000000002</v>
      </c>
      <c r="P19" s="2"/>
      <c r="Q19" s="2"/>
    </row>
    <row r="20" spans="1:17" x14ac:dyDescent="0.25">
      <c r="C20" s="2"/>
      <c r="D20" s="2"/>
      <c r="E20" s="12"/>
      <c r="F20" s="12"/>
      <c r="G20" s="12"/>
      <c r="H20" s="2"/>
      <c r="I20" s="2"/>
      <c r="J20" s="2"/>
      <c r="K20" s="2"/>
      <c r="L20" s="2"/>
      <c r="M20" s="2"/>
      <c r="N20" s="13"/>
      <c r="P20" s="13">
        <f t="shared" si="4"/>
        <v>0</v>
      </c>
      <c r="Q20" s="13">
        <f t="shared" si="5"/>
        <v>0</v>
      </c>
    </row>
    <row r="21" spans="1:17" x14ac:dyDescent="0.25">
      <c r="A21" s="3" t="s">
        <v>19</v>
      </c>
      <c r="B21" s="7">
        <f>B147+B142</f>
        <v>-4303584.0399999917</v>
      </c>
      <c r="C21" s="7">
        <f>C147+C142</f>
        <v>-230168.78000000119</v>
      </c>
      <c r="D21" s="7">
        <f>D147+D142</f>
        <v>-102046.03999999166</v>
      </c>
      <c r="E21" s="14">
        <f>E147+E142</f>
        <v>14781.879999995232</v>
      </c>
      <c r="F21" s="15">
        <f>F147+F142</f>
        <v>0</v>
      </c>
      <c r="G21" s="15">
        <f t="shared" ref="G21:M21" si="15">G142+G147</f>
        <v>0</v>
      </c>
      <c r="H21" s="2">
        <f t="shared" si="15"/>
        <v>0</v>
      </c>
      <c r="I21" s="2">
        <f t="shared" si="15"/>
        <v>0</v>
      </c>
      <c r="J21" s="2">
        <f t="shared" si="15"/>
        <v>0</v>
      </c>
      <c r="K21" s="2">
        <f t="shared" si="15"/>
        <v>0</v>
      </c>
      <c r="L21" s="2">
        <f t="shared" si="15"/>
        <v>0</v>
      </c>
      <c r="M21" s="2">
        <f t="shared" si="15"/>
        <v>0</v>
      </c>
      <c r="N21" s="2">
        <f>SUM(B21:M21)</f>
        <v>-4621016.9799999893</v>
      </c>
      <c r="P21" s="2">
        <f t="shared" si="4"/>
        <v>-420092.45272727177</v>
      </c>
      <c r="Q21" s="2">
        <f t="shared" si="5"/>
        <v>420092.45272727177</v>
      </c>
    </row>
    <row r="22" spans="1:17" x14ac:dyDescent="0.25">
      <c r="A22" s="3" t="s">
        <v>20</v>
      </c>
      <c r="B22" s="7">
        <f t="shared" ref="B22:M23" si="16">B148+B155</f>
        <v>-198311.54999999702</v>
      </c>
      <c r="C22" s="7">
        <f t="shared" si="16"/>
        <v>-141071.81000000052</v>
      </c>
      <c r="D22" s="7">
        <f t="shared" si="16"/>
        <v>73914.890000000596</v>
      </c>
      <c r="E22" s="7">
        <f t="shared" si="16"/>
        <v>442679.44999998808</v>
      </c>
      <c r="F22" s="7">
        <f>F148+F155</f>
        <v>0</v>
      </c>
      <c r="G22" s="7">
        <f t="shared" si="16"/>
        <v>0</v>
      </c>
      <c r="H22" s="2">
        <f t="shared" si="16"/>
        <v>0</v>
      </c>
      <c r="I22" s="2">
        <f t="shared" si="16"/>
        <v>0</v>
      </c>
      <c r="J22" s="2">
        <f t="shared" si="16"/>
        <v>0</v>
      </c>
      <c r="K22" s="2">
        <f t="shared" si="16"/>
        <v>0</v>
      </c>
      <c r="L22" s="2">
        <f t="shared" si="16"/>
        <v>0</v>
      </c>
      <c r="M22" s="2">
        <f t="shared" si="16"/>
        <v>0</v>
      </c>
      <c r="N22" s="2">
        <f>SUM(B22:M22)</f>
        <v>177210.97999999113</v>
      </c>
      <c r="P22" s="2">
        <f t="shared" si="4"/>
        <v>16110.089090908285</v>
      </c>
      <c r="Q22" s="2">
        <f t="shared" si="5"/>
        <v>-16110.089090908285</v>
      </c>
    </row>
    <row r="23" spans="1:17" x14ac:dyDescent="0.25">
      <c r="A23" s="3" t="s">
        <v>21</v>
      </c>
      <c r="B23" s="7">
        <f t="shared" si="16"/>
        <v>-28077.910000000033</v>
      </c>
      <c r="C23" s="7">
        <f t="shared" si="16"/>
        <v>-41342.620000000112</v>
      </c>
      <c r="D23" s="7">
        <f t="shared" si="16"/>
        <v>-28127.939999999944</v>
      </c>
      <c r="E23" s="7">
        <f t="shared" si="16"/>
        <v>1048.5499999999884</v>
      </c>
      <c r="F23" s="14">
        <f>F149+F156</f>
        <v>0</v>
      </c>
      <c r="G23" s="14">
        <f t="shared" si="16"/>
        <v>0</v>
      </c>
      <c r="H23" s="2">
        <f t="shared" si="16"/>
        <v>0</v>
      </c>
      <c r="I23" s="2">
        <f t="shared" si="16"/>
        <v>0</v>
      </c>
      <c r="J23" s="2">
        <f t="shared" si="16"/>
        <v>0</v>
      </c>
      <c r="K23" s="2">
        <f t="shared" si="16"/>
        <v>0</v>
      </c>
      <c r="L23" s="2">
        <f t="shared" si="16"/>
        <v>0</v>
      </c>
      <c r="M23" s="2">
        <f t="shared" si="16"/>
        <v>0</v>
      </c>
      <c r="N23" s="2">
        <f>SUM(B23:M23)</f>
        <v>-96499.9200000001</v>
      </c>
      <c r="P23" s="2">
        <f t="shared" si="4"/>
        <v>-8772.7200000000084</v>
      </c>
      <c r="Q23" s="2">
        <f t="shared" si="5"/>
        <v>8772.7200000000084</v>
      </c>
    </row>
    <row r="24" spans="1:17" x14ac:dyDescent="0.25">
      <c r="A24" s="3" t="s">
        <v>22</v>
      </c>
      <c r="B24" s="7">
        <f>B150+B161</f>
        <v>-17915.510000000009</v>
      </c>
      <c r="C24" s="7">
        <f>C150+C161</f>
        <v>0</v>
      </c>
      <c r="D24" s="7">
        <f>D150+D161</f>
        <v>-35497.39</v>
      </c>
      <c r="E24" s="7">
        <f t="shared" ref="E24:J24" si="17">E150+E161</f>
        <v>2061.8000000000466</v>
      </c>
      <c r="F24" s="14">
        <f>F150+F161</f>
        <v>0</v>
      </c>
      <c r="G24" s="14">
        <f t="shared" si="17"/>
        <v>0</v>
      </c>
      <c r="H24" s="2">
        <f t="shared" si="17"/>
        <v>0</v>
      </c>
      <c r="I24" s="2">
        <f t="shared" si="17"/>
        <v>0</v>
      </c>
      <c r="J24" s="2">
        <f t="shared" si="17"/>
        <v>0</v>
      </c>
      <c r="K24" s="2">
        <f>K150+K161</f>
        <v>0</v>
      </c>
      <c r="L24" s="2">
        <f>L150+L161</f>
        <v>0</v>
      </c>
      <c r="M24" s="2">
        <f>M150+M161</f>
        <v>0</v>
      </c>
      <c r="N24" s="2">
        <f>SUM(B24:M24)</f>
        <v>-51351.099999999962</v>
      </c>
      <c r="P24" s="2">
        <f t="shared" si="4"/>
        <v>-4668.2818181818147</v>
      </c>
      <c r="Q24" s="2">
        <f t="shared" si="5"/>
        <v>4668.2818181818147</v>
      </c>
    </row>
    <row r="25" spans="1:17" x14ac:dyDescent="0.25">
      <c r="C25" s="2"/>
      <c r="D25" s="2"/>
      <c r="E25" s="12"/>
      <c r="F25" s="12"/>
      <c r="G25" s="12"/>
      <c r="H25" s="2"/>
      <c r="I25" s="2"/>
      <c r="J25" s="2"/>
      <c r="K25" s="2"/>
      <c r="L25" s="2"/>
      <c r="M25" s="2"/>
      <c r="N25" s="13"/>
      <c r="P25" s="13">
        <f t="shared" si="4"/>
        <v>0</v>
      </c>
      <c r="Q25" s="13">
        <f t="shared" si="5"/>
        <v>0</v>
      </c>
    </row>
    <row r="26" spans="1:17" x14ac:dyDescent="0.25">
      <c r="A26" s="3" t="s">
        <v>23</v>
      </c>
      <c r="B26" s="7">
        <f t="shared" ref="B26:M28" si="18">B138+B143</f>
        <v>-1451390.0700000077</v>
      </c>
      <c r="C26" s="7">
        <f t="shared" si="18"/>
        <v>-14017.5</v>
      </c>
      <c r="D26" s="7">
        <f t="shared" si="18"/>
        <v>-649600</v>
      </c>
      <c r="E26" s="7">
        <f t="shared" si="18"/>
        <v>339010</v>
      </c>
      <c r="F26" s="7">
        <f>F138+F143</f>
        <v>0</v>
      </c>
      <c r="G26" s="7">
        <f t="shared" si="18"/>
        <v>0</v>
      </c>
      <c r="H26" s="2">
        <f t="shared" si="18"/>
        <v>0</v>
      </c>
      <c r="I26" s="2">
        <f t="shared" si="18"/>
        <v>0</v>
      </c>
      <c r="J26" s="2">
        <f t="shared" si="18"/>
        <v>0</v>
      </c>
      <c r="K26" s="2">
        <f t="shared" si="18"/>
        <v>0</v>
      </c>
      <c r="L26" s="2">
        <f t="shared" si="18"/>
        <v>0</v>
      </c>
      <c r="M26" s="2">
        <f t="shared" si="18"/>
        <v>0</v>
      </c>
      <c r="N26" s="2">
        <f>SUM(B26:M26)</f>
        <v>-1775997.5700000077</v>
      </c>
      <c r="P26" s="2">
        <f t="shared" si="4"/>
        <v>-161454.32454545525</v>
      </c>
      <c r="Q26" s="2">
        <f t="shared" si="5"/>
        <v>161454.32454545525</v>
      </c>
    </row>
    <row r="27" spans="1:17" x14ac:dyDescent="0.25">
      <c r="A27" s="3" t="s">
        <v>24</v>
      </c>
      <c r="B27" s="7">
        <f t="shared" si="18"/>
        <v>287951.64999999851</v>
      </c>
      <c r="C27" s="7">
        <f t="shared" si="18"/>
        <v>-4461877.3100000024</v>
      </c>
      <c r="D27" s="7">
        <f t="shared" si="18"/>
        <v>67555.530000001192</v>
      </c>
      <c r="E27" s="14">
        <f t="shared" si="18"/>
        <v>-3414426</v>
      </c>
      <c r="F27" s="14">
        <f>F139+F144</f>
        <v>0</v>
      </c>
      <c r="G27" s="14">
        <f t="shared" si="18"/>
        <v>0</v>
      </c>
      <c r="H27" s="2">
        <f t="shared" si="18"/>
        <v>0</v>
      </c>
      <c r="I27" s="2">
        <f t="shared" si="18"/>
        <v>0</v>
      </c>
      <c r="J27" s="2">
        <f t="shared" si="18"/>
        <v>0</v>
      </c>
      <c r="K27" s="2">
        <f t="shared" si="18"/>
        <v>0</v>
      </c>
      <c r="L27" s="2">
        <f t="shared" si="18"/>
        <v>0</v>
      </c>
      <c r="M27" s="2">
        <f t="shared" si="18"/>
        <v>0</v>
      </c>
      <c r="N27" s="2">
        <f>SUM(B27:M27)</f>
        <v>-7520796.1300000027</v>
      </c>
      <c r="P27" s="2">
        <f t="shared" si="4"/>
        <v>-683708.73909090937</v>
      </c>
      <c r="Q27" s="2">
        <f t="shared" si="5"/>
        <v>683708.73909090937</v>
      </c>
    </row>
    <row r="28" spans="1:17" x14ac:dyDescent="0.25">
      <c r="A28" s="3" t="s">
        <v>25</v>
      </c>
      <c r="B28" s="7">
        <f t="shared" si="18"/>
        <v>0</v>
      </c>
      <c r="C28" s="7">
        <f t="shared" si="18"/>
        <v>4535</v>
      </c>
      <c r="D28" s="7">
        <f t="shared" si="18"/>
        <v>-3890</v>
      </c>
      <c r="E28" s="7">
        <f>E140+E145</f>
        <v>-555</v>
      </c>
      <c r="F28" s="14">
        <f>F140+F145</f>
        <v>0</v>
      </c>
      <c r="G28" s="14">
        <f t="shared" ref="G28:M29" si="19">G145+G140</f>
        <v>0</v>
      </c>
      <c r="H28" s="2">
        <f t="shared" si="19"/>
        <v>0</v>
      </c>
      <c r="I28" s="2">
        <f t="shared" si="19"/>
        <v>0</v>
      </c>
      <c r="J28" s="2">
        <f t="shared" si="19"/>
        <v>0</v>
      </c>
      <c r="K28" s="2">
        <f t="shared" si="19"/>
        <v>0</v>
      </c>
      <c r="L28" s="2">
        <f t="shared" si="19"/>
        <v>0</v>
      </c>
      <c r="M28" s="2">
        <f t="shared" si="19"/>
        <v>0</v>
      </c>
      <c r="N28" s="2">
        <f>SUM(B28:M28)</f>
        <v>90</v>
      </c>
      <c r="P28" s="2">
        <f t="shared" si="4"/>
        <v>8.1818181818181817</v>
      </c>
      <c r="Q28" s="2">
        <f t="shared" si="5"/>
        <v>-8.1818181818181817</v>
      </c>
    </row>
    <row r="29" spans="1:17" x14ac:dyDescent="0.25">
      <c r="A29" s="3" t="s">
        <v>26</v>
      </c>
      <c r="B29" s="2">
        <v>0</v>
      </c>
      <c r="C29" s="2">
        <v>0</v>
      </c>
      <c r="D29" s="2">
        <v>0</v>
      </c>
      <c r="E29" s="2">
        <v>0</v>
      </c>
      <c r="F29" s="16">
        <f>F141+F146</f>
        <v>0</v>
      </c>
      <c r="G29" s="16">
        <v>0</v>
      </c>
      <c r="H29" s="2">
        <f t="shared" si="19"/>
        <v>0</v>
      </c>
      <c r="I29" s="2">
        <f t="shared" si="19"/>
        <v>0</v>
      </c>
      <c r="J29" s="2">
        <f t="shared" si="19"/>
        <v>0</v>
      </c>
      <c r="K29" s="2">
        <f t="shared" si="19"/>
        <v>0</v>
      </c>
      <c r="L29" s="2">
        <f t="shared" si="19"/>
        <v>0</v>
      </c>
      <c r="M29" s="2">
        <f t="shared" si="19"/>
        <v>0</v>
      </c>
      <c r="N29" s="2">
        <f>SUM(B29:M29)</f>
        <v>0</v>
      </c>
      <c r="P29" s="2">
        <f t="shared" si="4"/>
        <v>0</v>
      </c>
      <c r="Q29" s="2">
        <f t="shared" si="5"/>
        <v>0</v>
      </c>
    </row>
    <row r="30" spans="1:17" x14ac:dyDescent="0.25">
      <c r="C30" s="2"/>
      <c r="D30" s="2"/>
      <c r="E30" s="12"/>
      <c r="F30" s="12"/>
      <c r="G30" s="12"/>
      <c r="H30" s="2"/>
      <c r="I30" s="2"/>
      <c r="J30" s="2"/>
      <c r="K30" s="2"/>
      <c r="L30" s="2"/>
      <c r="M30" s="2"/>
      <c r="N30" s="13"/>
      <c r="P30" s="13">
        <f t="shared" si="4"/>
        <v>0</v>
      </c>
      <c r="Q30" s="13">
        <f t="shared" si="5"/>
        <v>0</v>
      </c>
    </row>
    <row r="31" spans="1:17" x14ac:dyDescent="0.25">
      <c r="A31" s="3" t="s">
        <v>27</v>
      </c>
      <c r="B31" s="2">
        <f>+B167</f>
        <v>2910296.13</v>
      </c>
      <c r="C31" s="2">
        <f>+C167</f>
        <v>1651163.39</v>
      </c>
      <c r="D31" s="2">
        <f t="shared" ref="D31:M31" si="20">+D167</f>
        <v>-414097.59</v>
      </c>
      <c r="E31" s="2">
        <f t="shared" si="20"/>
        <v>959937.83</v>
      </c>
      <c r="F31" s="16">
        <f>+F167</f>
        <v>0</v>
      </c>
      <c r="G31" s="16">
        <f t="shared" si="20"/>
        <v>0</v>
      </c>
      <c r="H31" s="2">
        <f t="shared" si="20"/>
        <v>0</v>
      </c>
      <c r="I31" s="2">
        <f t="shared" si="20"/>
        <v>0</v>
      </c>
      <c r="J31" s="2">
        <f t="shared" si="20"/>
        <v>0</v>
      </c>
      <c r="K31" s="2">
        <f>+K167</f>
        <v>0</v>
      </c>
      <c r="L31" s="2">
        <f t="shared" si="20"/>
        <v>0</v>
      </c>
      <c r="M31" s="2">
        <f t="shared" si="20"/>
        <v>0</v>
      </c>
      <c r="N31" s="2">
        <f>SUM(B31:M31)</f>
        <v>5107299.76</v>
      </c>
      <c r="P31" s="2">
        <f t="shared" si="4"/>
        <v>464299.97818181815</v>
      </c>
      <c r="Q31" s="2">
        <f t="shared" si="5"/>
        <v>-464299.97818181815</v>
      </c>
    </row>
    <row r="32" spans="1:17" x14ac:dyDescent="0.25">
      <c r="A32" s="3" t="s">
        <v>28</v>
      </c>
      <c r="B32" s="7">
        <f>B163</f>
        <v>2682.05</v>
      </c>
      <c r="C32" s="7">
        <f>C163</f>
        <v>-1617.38</v>
      </c>
      <c r="D32" s="7">
        <f>D163</f>
        <v>5756.07</v>
      </c>
      <c r="E32" s="7">
        <f t="shared" ref="E32:K32" si="21">E163</f>
        <v>9048.32</v>
      </c>
      <c r="F32" s="7">
        <f>F163</f>
        <v>0</v>
      </c>
      <c r="G32" s="7">
        <f t="shared" si="21"/>
        <v>0</v>
      </c>
      <c r="H32" s="2">
        <f t="shared" si="21"/>
        <v>0</v>
      </c>
      <c r="I32" s="2">
        <f t="shared" si="21"/>
        <v>0</v>
      </c>
      <c r="J32" s="2">
        <f t="shared" si="21"/>
        <v>0</v>
      </c>
      <c r="K32" s="2">
        <f t="shared" si="21"/>
        <v>0</v>
      </c>
      <c r="L32" s="2">
        <f>L163</f>
        <v>0</v>
      </c>
      <c r="M32" s="2">
        <f>M163</f>
        <v>0</v>
      </c>
      <c r="N32" s="2">
        <f>SUM(B32:M32)</f>
        <v>15869.06</v>
      </c>
      <c r="P32" s="2">
        <f t="shared" si="4"/>
        <v>1442.6418181818181</v>
      </c>
      <c r="Q32" s="2">
        <f t="shared" si="5"/>
        <v>-1442.6418181818181</v>
      </c>
    </row>
    <row r="33" spans="1:17" x14ac:dyDescent="0.25">
      <c r="A33" s="3" t="s">
        <v>29</v>
      </c>
      <c r="B33" s="10">
        <f>SUM(B14:B32)</f>
        <v>584428259.50999987</v>
      </c>
      <c r="C33" s="10">
        <f>SUM(C14:C32)</f>
        <v>1325767059.3100004</v>
      </c>
      <c r="D33" s="10">
        <f>SUM(D14:D32)</f>
        <v>407667417.19000006</v>
      </c>
      <c r="E33" s="10">
        <f t="shared" ref="E33:L33" si="22">SUM(E14:E32)</f>
        <v>144338649.61000001</v>
      </c>
      <c r="F33" s="10">
        <f t="shared" si="22"/>
        <v>0</v>
      </c>
      <c r="G33" s="10">
        <f t="shared" si="22"/>
        <v>0</v>
      </c>
      <c r="H33" s="10">
        <f>SUM(H14:H32)</f>
        <v>0</v>
      </c>
      <c r="I33" s="10">
        <f>SUM(I14:I32)</f>
        <v>0</v>
      </c>
      <c r="J33" s="10">
        <f t="shared" si="22"/>
        <v>0</v>
      </c>
      <c r="K33" s="10">
        <f t="shared" si="22"/>
        <v>0</v>
      </c>
      <c r="L33" s="10">
        <f t="shared" si="22"/>
        <v>0</v>
      </c>
      <c r="M33" s="10">
        <f>SUM(M14:M32)</f>
        <v>0</v>
      </c>
      <c r="N33" s="10">
        <f>SUM(N14:N32)</f>
        <v>2462201385.6199999</v>
      </c>
      <c r="P33" s="10">
        <f t="shared" si="4"/>
        <v>223836489.60181817</v>
      </c>
      <c r="Q33" s="10">
        <f t="shared" si="5"/>
        <v>-223836489.60181817</v>
      </c>
    </row>
    <row r="34" spans="1:17" ht="24" customHeight="1" thickBot="1" x14ac:dyDescent="0.3">
      <c r="A34" s="17" t="s">
        <v>30</v>
      </c>
      <c r="B34" s="18">
        <f t="shared" ref="B34:M34" si="23">+B11-B33</f>
        <v>873800.75000011921</v>
      </c>
      <c r="C34" s="18">
        <f t="shared" si="23"/>
        <v>807135.46999979019</v>
      </c>
      <c r="D34" s="18">
        <f t="shared" si="23"/>
        <v>873124.75999993086</v>
      </c>
      <c r="E34" s="18">
        <f>+E11-E33</f>
        <v>583926.69999995828</v>
      </c>
      <c r="F34" s="18">
        <f t="shared" si="23"/>
        <v>0</v>
      </c>
      <c r="G34" s="18">
        <f t="shared" si="23"/>
        <v>0</v>
      </c>
      <c r="H34" s="18">
        <f t="shared" si="23"/>
        <v>0</v>
      </c>
      <c r="I34" s="18">
        <f t="shared" si="23"/>
        <v>0</v>
      </c>
      <c r="J34" s="18">
        <f t="shared" si="23"/>
        <v>0</v>
      </c>
      <c r="K34" s="18">
        <f t="shared" si="23"/>
        <v>0</v>
      </c>
      <c r="L34" s="18">
        <f t="shared" si="23"/>
        <v>0</v>
      </c>
      <c r="M34" s="18">
        <f t="shared" si="23"/>
        <v>0</v>
      </c>
      <c r="N34" s="18">
        <f>+N11-N33</f>
        <v>3137987.6799998283</v>
      </c>
      <c r="P34" s="18">
        <f t="shared" si="4"/>
        <v>285271.60727271164</v>
      </c>
      <c r="Q34" s="18">
        <f t="shared" si="5"/>
        <v>-285271.60727271164</v>
      </c>
    </row>
    <row r="35" spans="1:17" ht="24" customHeight="1" thickTop="1" x14ac:dyDescent="0.25">
      <c r="B35" s="19">
        <f>+B34/B11</f>
        <v>1.4929056453550902E-3</v>
      </c>
      <c r="C35" s="19">
        <f t="shared" ref="C35:N35" si="24">+C34/C11</f>
        <v>6.0843597981615036E-4</v>
      </c>
      <c r="D35" s="19">
        <f t="shared" si="24"/>
        <v>2.137180206969006E-3</v>
      </c>
      <c r="E35" s="19">
        <f t="shared" si="24"/>
        <v>4.029232124268178E-3</v>
      </c>
      <c r="F35" s="19" t="e">
        <f t="shared" si="24"/>
        <v>#DIV/0!</v>
      </c>
      <c r="G35" s="19" t="e">
        <f t="shared" si="24"/>
        <v>#DIV/0!</v>
      </c>
      <c r="H35" s="19" t="e">
        <f t="shared" si="24"/>
        <v>#DIV/0!</v>
      </c>
      <c r="I35" s="19" t="e">
        <f t="shared" si="24"/>
        <v>#DIV/0!</v>
      </c>
      <c r="J35" s="19" t="e">
        <f t="shared" si="24"/>
        <v>#DIV/0!</v>
      </c>
      <c r="K35" s="19" t="e">
        <f t="shared" si="24"/>
        <v>#DIV/0!</v>
      </c>
      <c r="L35" s="19" t="e">
        <f t="shared" si="24"/>
        <v>#DIV/0!</v>
      </c>
      <c r="M35" s="19" t="e">
        <f>+M34/M11</f>
        <v>#DIV/0!</v>
      </c>
      <c r="N35" s="19">
        <f t="shared" si="24"/>
        <v>1.2728420735841533E-3</v>
      </c>
      <c r="P35" s="19" t="e">
        <f t="shared" si="4"/>
        <v>#DIV/0!</v>
      </c>
      <c r="Q35" s="19" t="e">
        <f t="shared" si="5"/>
        <v>#DIV/0!</v>
      </c>
    </row>
    <row r="36" spans="1:17" ht="24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P36" s="8">
        <f t="shared" si="4"/>
        <v>0</v>
      </c>
      <c r="Q36" s="8">
        <f t="shared" si="5"/>
        <v>0</v>
      </c>
    </row>
    <row r="37" spans="1:17" s="20" customFormat="1" x14ac:dyDescent="0.25">
      <c r="A37" s="20" t="s">
        <v>31</v>
      </c>
      <c r="B37" s="8">
        <f>'[1]Comparison 2017-2018'!$G$30</f>
        <v>885928.51408513961</v>
      </c>
      <c r="C37" s="8">
        <f>'[1]Comparison 2017-2018'!$G$54</f>
        <v>681928.29401690571</v>
      </c>
      <c r="D37" s="8">
        <f>'[1]Comparison 2017-2018'!$G$80</f>
        <v>674363.71418699983</v>
      </c>
      <c r="E37" s="8">
        <f>'[1]Comparison 2017-2018'!$G$105</f>
        <v>655611.34502510389</v>
      </c>
      <c r="F37" s="8"/>
      <c r="G37" s="8"/>
      <c r="H37" s="8"/>
      <c r="I37" s="8"/>
      <c r="J37" s="8"/>
      <c r="K37" s="8"/>
      <c r="L37" s="8"/>
      <c r="M37" s="8"/>
      <c r="N37" s="2">
        <f t="shared" ref="N37:N43" si="25">SUM(B37:M37)</f>
        <v>2897831.8673141492</v>
      </c>
      <c r="P37" s="2">
        <f t="shared" si="4"/>
        <v>263439.26066492265</v>
      </c>
      <c r="Q37" s="2">
        <f t="shared" si="5"/>
        <v>-263439.26066492265</v>
      </c>
    </row>
    <row r="38" spans="1:17" s="20" customFormat="1" x14ac:dyDescent="0.25">
      <c r="A38" s="20" t="s">
        <v>32</v>
      </c>
      <c r="B38" s="8">
        <f>11347.91+1307.73</f>
        <v>12655.64</v>
      </c>
      <c r="C38" s="8">
        <f>2264.54+222.6</f>
        <v>2487.14</v>
      </c>
      <c r="D38" s="8">
        <f>3529.42+2652.3</f>
        <v>6181.72</v>
      </c>
      <c r="E38" s="8">
        <f>1899.66+1105.7</f>
        <v>3005.36</v>
      </c>
      <c r="F38" s="8"/>
      <c r="G38" s="8"/>
      <c r="H38" s="8"/>
      <c r="I38" s="8"/>
      <c r="J38" s="8"/>
      <c r="K38" s="8"/>
      <c r="L38" s="8"/>
      <c r="M38" s="8"/>
      <c r="N38" s="2">
        <f t="shared" si="25"/>
        <v>24329.86</v>
      </c>
      <c r="P38" s="2">
        <f t="shared" si="4"/>
        <v>2211.8054545454547</v>
      </c>
      <c r="Q38" s="2">
        <f t="shared" si="5"/>
        <v>-2211.8054545454547</v>
      </c>
    </row>
    <row r="39" spans="1:17" s="20" customFormat="1" x14ac:dyDescent="0.25">
      <c r="A39" s="20" t="s">
        <v>33</v>
      </c>
      <c r="B39" s="8">
        <f>'[2]Monthly Summary'!$B$6</f>
        <v>51934.229999999996</v>
      </c>
      <c r="C39" s="8">
        <f>[3]Feb!$B$35</f>
        <v>36189.82</v>
      </c>
      <c r="D39" s="8">
        <f>[2]Mar!$B$35</f>
        <v>90332.26999999999</v>
      </c>
      <c r="E39" s="21">
        <f>[2]Apr!$B$35</f>
        <v>42087.81</v>
      </c>
      <c r="F39" s="15"/>
      <c r="G39" s="15"/>
      <c r="H39" s="15"/>
      <c r="I39" s="8"/>
      <c r="J39" s="21"/>
      <c r="K39" s="21"/>
      <c r="L39" s="21"/>
      <c r="M39" s="22"/>
      <c r="N39" s="2">
        <f t="shared" si="25"/>
        <v>220544.12999999998</v>
      </c>
      <c r="P39" s="2">
        <f t="shared" si="4"/>
        <v>20049.466363636362</v>
      </c>
      <c r="Q39" s="2">
        <f t="shared" si="5"/>
        <v>-20049.466363636362</v>
      </c>
    </row>
    <row r="40" spans="1:17" s="20" customFormat="1" x14ac:dyDescent="0.25">
      <c r="A40" s="20" t="s">
        <v>34</v>
      </c>
      <c r="B40" s="2">
        <f>-11152-36907.01</f>
        <v>-48059.01</v>
      </c>
      <c r="C40" s="8">
        <f>-4530.13-104404.39</f>
        <v>-108934.52</v>
      </c>
      <c r="D40" s="8">
        <v>-27223.4</v>
      </c>
      <c r="E40" s="8">
        <v>-45776.83</v>
      </c>
      <c r="F40" s="14"/>
      <c r="G40" s="14"/>
      <c r="H40" s="14"/>
      <c r="I40" s="8"/>
      <c r="J40" s="8"/>
      <c r="K40" s="21"/>
      <c r="L40" s="21"/>
      <c r="M40" s="21"/>
      <c r="N40" s="2">
        <f t="shared" si="25"/>
        <v>-229993.76</v>
      </c>
      <c r="O40" s="23"/>
      <c r="P40" s="2">
        <f t="shared" si="4"/>
        <v>-20908.523636363636</v>
      </c>
      <c r="Q40" s="2">
        <f t="shared" si="5"/>
        <v>20908.523636363636</v>
      </c>
    </row>
    <row r="41" spans="1:17" s="20" customFormat="1" x14ac:dyDescent="0.25">
      <c r="A41" s="20" t="s">
        <v>35</v>
      </c>
      <c r="B41" s="2">
        <f>-51657.33-70861</f>
        <v>-122518.33</v>
      </c>
      <c r="C41" s="8">
        <f>8840+42577</f>
        <v>51417</v>
      </c>
      <c r="D41" s="8">
        <f>-5460+61057-530</f>
        <v>55067</v>
      </c>
      <c r="E41" s="8">
        <f>9250+15494+530</f>
        <v>25274</v>
      </c>
      <c r="F41" s="14"/>
      <c r="G41" s="14"/>
      <c r="H41" s="14"/>
      <c r="I41" s="8"/>
      <c r="J41" s="8"/>
      <c r="K41" s="21"/>
      <c r="L41" s="21"/>
      <c r="M41" s="24"/>
      <c r="N41" s="2">
        <f t="shared" si="25"/>
        <v>9239.6699999999983</v>
      </c>
      <c r="O41" s="23"/>
      <c r="P41" s="2">
        <f t="shared" si="4"/>
        <v>839.9699999999998</v>
      </c>
      <c r="Q41" s="2">
        <f t="shared" si="5"/>
        <v>-839.9699999999998</v>
      </c>
    </row>
    <row r="42" spans="1:17" s="20" customFormat="1" x14ac:dyDescent="0.25">
      <c r="A42" s="3" t="s">
        <v>36</v>
      </c>
      <c r="B42" s="2">
        <v>0</v>
      </c>
      <c r="C42" s="8">
        <v>0</v>
      </c>
      <c r="D42" s="8">
        <v>0</v>
      </c>
      <c r="E42" s="8"/>
      <c r="F42" s="8"/>
      <c r="G42" s="8"/>
      <c r="H42" s="8"/>
      <c r="I42" s="8"/>
      <c r="J42" s="8"/>
      <c r="K42" s="21"/>
      <c r="L42" s="21"/>
      <c r="M42" s="21"/>
      <c r="N42" s="2">
        <f t="shared" si="25"/>
        <v>0</v>
      </c>
      <c r="P42" s="2">
        <f t="shared" si="4"/>
        <v>0</v>
      </c>
      <c r="Q42" s="2">
        <f t="shared" si="5"/>
        <v>0</v>
      </c>
    </row>
    <row r="43" spans="1:17" s="20" customFormat="1" x14ac:dyDescent="0.25">
      <c r="A43" s="3" t="s">
        <v>37</v>
      </c>
      <c r="B43" s="2">
        <v>-35000</v>
      </c>
      <c r="C43" s="2">
        <f>-18000-17000</f>
        <v>-35000</v>
      </c>
      <c r="D43" s="2">
        <v>-35000</v>
      </c>
      <c r="E43" s="2">
        <v>-35000</v>
      </c>
      <c r="F43" s="2"/>
      <c r="G43" s="2"/>
      <c r="H43" s="2"/>
      <c r="I43" s="2"/>
      <c r="J43" s="2"/>
      <c r="K43" s="2"/>
      <c r="L43" s="2"/>
      <c r="M43" s="2"/>
      <c r="N43" s="2">
        <f t="shared" si="25"/>
        <v>-140000</v>
      </c>
      <c r="P43" s="2">
        <f t="shared" si="4"/>
        <v>-12727.272727272728</v>
      </c>
      <c r="Q43" s="2">
        <f t="shared" si="5"/>
        <v>12727.272727272728</v>
      </c>
    </row>
    <row r="44" spans="1:17" s="20" customFormat="1" x14ac:dyDescent="0.25">
      <c r="B44" s="10">
        <f>SUM(B37:B43)</f>
        <v>744941.04408513964</v>
      </c>
      <c r="C44" s="10">
        <f t="shared" ref="C44:M44" si="26">SUM(C37:C43)</f>
        <v>628087.73401690566</v>
      </c>
      <c r="D44" s="10">
        <f t="shared" si="26"/>
        <v>763721.3041869998</v>
      </c>
      <c r="E44" s="10">
        <f t="shared" si="26"/>
        <v>645201.68502510397</v>
      </c>
      <c r="F44" s="10">
        <f t="shared" si="26"/>
        <v>0</v>
      </c>
      <c r="G44" s="10">
        <f t="shared" si="26"/>
        <v>0</v>
      </c>
      <c r="H44" s="10">
        <f t="shared" si="26"/>
        <v>0</v>
      </c>
      <c r="I44" s="10">
        <f t="shared" si="26"/>
        <v>0</v>
      </c>
      <c r="J44" s="10">
        <f t="shared" si="26"/>
        <v>0</v>
      </c>
      <c r="K44" s="10">
        <f t="shared" si="26"/>
        <v>0</v>
      </c>
      <c r="L44" s="10">
        <f>SUM(L37:L43)</f>
        <v>0</v>
      </c>
      <c r="M44" s="10">
        <f t="shared" si="26"/>
        <v>0</v>
      </c>
      <c r="N44" s="10">
        <f>SUM(N37:N43)</f>
        <v>2781951.7673141491</v>
      </c>
      <c r="P44" s="10">
        <f t="shared" si="4"/>
        <v>252904.70611946809</v>
      </c>
      <c r="Q44" s="10">
        <f t="shared" si="5"/>
        <v>-252904.70611946809</v>
      </c>
    </row>
    <row r="45" spans="1:17" ht="25.5" customHeight="1" thickBot="1" x14ac:dyDescent="0.3">
      <c r="A45" s="17" t="s">
        <v>38</v>
      </c>
      <c r="B45" s="25">
        <f>+B34-B44</f>
        <v>128859.70591497957</v>
      </c>
      <c r="C45" s="25">
        <f t="shared" ref="C45:M45" si="27">+C34-C44</f>
        <v>179047.73598288454</v>
      </c>
      <c r="D45" s="25">
        <f>+D34-D44</f>
        <v>109403.45581293106</v>
      </c>
      <c r="E45" s="25">
        <f t="shared" si="27"/>
        <v>-61274.985025145696</v>
      </c>
      <c r="F45" s="25">
        <f t="shared" si="27"/>
        <v>0</v>
      </c>
      <c r="G45" s="25">
        <f t="shared" si="27"/>
        <v>0</v>
      </c>
      <c r="H45" s="25">
        <f t="shared" si="27"/>
        <v>0</v>
      </c>
      <c r="I45" s="25">
        <f t="shared" si="27"/>
        <v>0</v>
      </c>
      <c r="J45" s="25">
        <f t="shared" si="27"/>
        <v>0</v>
      </c>
      <c r="K45" s="25">
        <f>+K34-K44</f>
        <v>0</v>
      </c>
      <c r="L45" s="25">
        <f>+L34-L44</f>
        <v>0</v>
      </c>
      <c r="M45" s="25">
        <f t="shared" si="27"/>
        <v>0</v>
      </c>
      <c r="N45" s="25">
        <f>+N34-N44</f>
        <v>356035.91268567927</v>
      </c>
      <c r="P45" s="25">
        <f t="shared" si="4"/>
        <v>32366.901153243569</v>
      </c>
      <c r="Q45" s="25">
        <f t="shared" si="5"/>
        <v>-32366.901153243569</v>
      </c>
    </row>
    <row r="46" spans="1:17" ht="15.75" thickTop="1" x14ac:dyDescent="0.25">
      <c r="C46" s="2"/>
      <c r="D46" s="2"/>
      <c r="E46" s="2"/>
      <c r="F46" s="2"/>
      <c r="G46" s="2"/>
      <c r="H46" s="26"/>
      <c r="I46" s="26"/>
      <c r="J46" s="26"/>
      <c r="K46" s="26"/>
      <c r="L46" s="2"/>
      <c r="M46" s="2"/>
      <c r="P46" s="3">
        <f t="shared" si="4"/>
        <v>0</v>
      </c>
      <c r="Q46" s="3">
        <f t="shared" si="5"/>
        <v>0</v>
      </c>
    </row>
    <row r="47" spans="1:17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P47" s="3">
        <f t="shared" si="4"/>
        <v>0</v>
      </c>
      <c r="Q47" s="3">
        <f t="shared" si="5"/>
        <v>0</v>
      </c>
    </row>
    <row r="48" spans="1:17" x14ac:dyDescent="0.25">
      <c r="A48" s="27" t="s">
        <v>39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P48" s="3">
        <f t="shared" si="4"/>
        <v>0</v>
      </c>
      <c r="Q48" s="3">
        <f t="shared" si="5"/>
        <v>0</v>
      </c>
    </row>
    <row r="49" spans="1:17" x14ac:dyDescent="0.25">
      <c r="A49" s="3" t="s">
        <v>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P49" s="3">
        <f t="shared" si="4"/>
        <v>0</v>
      </c>
      <c r="Q49" s="3">
        <f t="shared" si="5"/>
        <v>0</v>
      </c>
    </row>
    <row r="50" spans="1:17" x14ac:dyDescent="0.25">
      <c r="A50" s="3" t="s">
        <v>40</v>
      </c>
      <c r="B50" s="7">
        <f>B101</f>
        <v>0</v>
      </c>
      <c r="C50" s="7">
        <f>C101</f>
        <v>0</v>
      </c>
      <c r="D50" s="7">
        <f>D101</f>
        <v>0</v>
      </c>
      <c r="E50" s="7">
        <f t="shared" ref="E50:J50" si="28">E101</f>
        <v>0</v>
      </c>
      <c r="F50" s="2">
        <f t="shared" si="28"/>
        <v>0</v>
      </c>
      <c r="G50" s="2">
        <f t="shared" si="28"/>
        <v>0</v>
      </c>
      <c r="H50" s="2">
        <f t="shared" si="28"/>
        <v>0</v>
      </c>
      <c r="I50" s="2">
        <f t="shared" si="28"/>
        <v>0</v>
      </c>
      <c r="J50" s="2">
        <f t="shared" si="28"/>
        <v>0</v>
      </c>
      <c r="K50" s="2">
        <f>K101</f>
        <v>0</v>
      </c>
      <c r="L50" s="2">
        <f>L101</f>
        <v>0</v>
      </c>
      <c r="M50" s="2">
        <f>M101</f>
        <v>0</v>
      </c>
      <c r="N50" s="2">
        <f>SUM(B50:M50)</f>
        <v>0</v>
      </c>
      <c r="P50" s="2">
        <f t="shared" si="4"/>
        <v>0</v>
      </c>
      <c r="Q50" s="2">
        <f t="shared" si="5"/>
        <v>0</v>
      </c>
    </row>
    <row r="51" spans="1:17" x14ac:dyDescent="0.25">
      <c r="A51" s="3" t="s">
        <v>41</v>
      </c>
      <c r="B51" s="7">
        <f>B107+B118</f>
        <v>44174.48</v>
      </c>
      <c r="C51" s="7">
        <f>C107+C118</f>
        <v>37026.959999999999</v>
      </c>
      <c r="D51" s="7">
        <f>D107+D118</f>
        <v>50952.97</v>
      </c>
      <c r="E51" s="7">
        <f>E107+E118</f>
        <v>17383</v>
      </c>
      <c r="F51" s="7">
        <f t="shared" ref="F51:M51" si="29">F107+F118</f>
        <v>0</v>
      </c>
      <c r="G51" s="7">
        <f t="shared" si="29"/>
        <v>0</v>
      </c>
      <c r="H51" s="7">
        <f t="shared" si="29"/>
        <v>0</v>
      </c>
      <c r="I51" s="7">
        <f t="shared" si="29"/>
        <v>0</v>
      </c>
      <c r="J51" s="7">
        <f t="shared" si="29"/>
        <v>0</v>
      </c>
      <c r="K51" s="7">
        <f t="shared" si="29"/>
        <v>0</v>
      </c>
      <c r="L51" s="7">
        <f t="shared" si="29"/>
        <v>0</v>
      </c>
      <c r="M51" s="7">
        <f t="shared" si="29"/>
        <v>0</v>
      </c>
      <c r="N51" s="2">
        <f>SUM(B51:M51)</f>
        <v>149537.41</v>
      </c>
      <c r="P51" s="2">
        <f t="shared" si="4"/>
        <v>13594.31</v>
      </c>
      <c r="Q51" s="2">
        <f t="shared" si="5"/>
        <v>-13594.31</v>
      </c>
    </row>
    <row r="52" spans="1:17" x14ac:dyDescent="0.25">
      <c r="A52" s="3" t="s">
        <v>42</v>
      </c>
      <c r="B52" s="2">
        <f>B106+B117</f>
        <v>0</v>
      </c>
      <c r="C52" s="2">
        <f>C106+C117</f>
        <v>0</v>
      </c>
      <c r="D52" s="2">
        <f>D106+D117</f>
        <v>0</v>
      </c>
      <c r="E52" s="2">
        <f>E106+E117</f>
        <v>0</v>
      </c>
      <c r="F52" s="2">
        <f t="shared" ref="F52:M52" si="30">F106+F117</f>
        <v>0</v>
      </c>
      <c r="G52" s="2">
        <f t="shared" si="30"/>
        <v>0</v>
      </c>
      <c r="H52" s="2">
        <f t="shared" si="30"/>
        <v>0</v>
      </c>
      <c r="I52" s="2">
        <f t="shared" si="30"/>
        <v>0</v>
      </c>
      <c r="J52" s="2">
        <f t="shared" si="30"/>
        <v>0</v>
      </c>
      <c r="K52" s="2">
        <f t="shared" si="30"/>
        <v>0</v>
      </c>
      <c r="L52" s="2">
        <f t="shared" si="30"/>
        <v>0</v>
      </c>
      <c r="M52" s="2">
        <f t="shared" si="30"/>
        <v>0</v>
      </c>
      <c r="N52" s="2">
        <f>SUM(B52:M52)</f>
        <v>0</v>
      </c>
      <c r="P52" s="2">
        <f t="shared" si="4"/>
        <v>0</v>
      </c>
      <c r="Q52" s="2">
        <f t="shared" si="5"/>
        <v>0</v>
      </c>
    </row>
    <row r="53" spans="1:17" x14ac:dyDescent="0.25">
      <c r="A53" s="3" t="s">
        <v>43</v>
      </c>
      <c r="B53" s="7">
        <f>B108+B110+B111+B112</f>
        <v>44096.53</v>
      </c>
      <c r="C53" s="7">
        <f>C108+C110+C111+C112</f>
        <v>78044.399999999994</v>
      </c>
      <c r="D53" s="7">
        <f>D108+D110+D111+D112</f>
        <v>64584.18</v>
      </c>
      <c r="E53" s="7">
        <f>E108+E110+E111+E112</f>
        <v>30224.629999999997</v>
      </c>
      <c r="F53" s="7">
        <f t="shared" ref="F53:M53" si="31">F108+F110+F111+F112</f>
        <v>0</v>
      </c>
      <c r="G53" s="7">
        <f t="shared" si="31"/>
        <v>0</v>
      </c>
      <c r="H53" s="7">
        <f t="shared" si="31"/>
        <v>0</v>
      </c>
      <c r="I53" s="7">
        <f t="shared" si="31"/>
        <v>0</v>
      </c>
      <c r="J53" s="7">
        <f t="shared" si="31"/>
        <v>0</v>
      </c>
      <c r="K53" s="7">
        <f t="shared" si="31"/>
        <v>0</v>
      </c>
      <c r="L53" s="7">
        <f t="shared" si="31"/>
        <v>0</v>
      </c>
      <c r="M53" s="7">
        <f t="shared" si="31"/>
        <v>0</v>
      </c>
      <c r="N53" s="2">
        <f>SUM(B53:M53)</f>
        <v>216949.74</v>
      </c>
      <c r="P53" s="2">
        <f t="shared" si="4"/>
        <v>19722.703636363636</v>
      </c>
      <c r="Q53" s="2">
        <f t="shared" si="5"/>
        <v>-19722.703636363636</v>
      </c>
    </row>
    <row r="54" spans="1:17" x14ac:dyDescent="0.25">
      <c r="A54" s="3" t="s">
        <v>44</v>
      </c>
      <c r="B54" s="28">
        <f>SUM(B50:B53)</f>
        <v>88271.010000000009</v>
      </c>
      <c r="C54" s="28">
        <f t="shared" ref="C54:N54" si="32">SUM(C50:C53)</f>
        <v>115071.35999999999</v>
      </c>
      <c r="D54" s="28">
        <f t="shared" si="32"/>
        <v>115537.15</v>
      </c>
      <c r="E54" s="28">
        <f t="shared" si="32"/>
        <v>47607.63</v>
      </c>
      <c r="F54" s="28">
        <f t="shared" si="32"/>
        <v>0</v>
      </c>
      <c r="G54" s="28">
        <f t="shared" si="32"/>
        <v>0</v>
      </c>
      <c r="H54" s="28">
        <f t="shared" si="32"/>
        <v>0</v>
      </c>
      <c r="I54" s="28">
        <f t="shared" si="32"/>
        <v>0</v>
      </c>
      <c r="J54" s="28">
        <f t="shared" si="32"/>
        <v>0</v>
      </c>
      <c r="K54" s="28">
        <f t="shared" si="32"/>
        <v>0</v>
      </c>
      <c r="L54" s="28">
        <f t="shared" si="32"/>
        <v>0</v>
      </c>
      <c r="M54" s="28">
        <f t="shared" si="32"/>
        <v>0</v>
      </c>
      <c r="N54" s="28">
        <f t="shared" si="32"/>
        <v>366487.15</v>
      </c>
      <c r="P54" s="28">
        <f t="shared" si="4"/>
        <v>33317.013636363641</v>
      </c>
      <c r="Q54" s="28">
        <f t="shared" si="5"/>
        <v>-33317.013636363641</v>
      </c>
    </row>
    <row r="55" spans="1:17" x14ac:dyDescent="0.25">
      <c r="A55" s="3" t="s">
        <v>45</v>
      </c>
      <c r="C55" s="2"/>
      <c r="D55" s="2"/>
      <c r="E55" s="12"/>
      <c r="F55" s="2"/>
      <c r="G55" s="2"/>
      <c r="H55" s="2"/>
      <c r="I55" s="2"/>
      <c r="J55" s="2"/>
      <c r="K55" s="2"/>
      <c r="L55" s="2"/>
      <c r="M55" s="2"/>
      <c r="N55" s="13"/>
      <c r="P55" s="13">
        <f t="shared" si="4"/>
        <v>0</v>
      </c>
      <c r="Q55" s="13">
        <f t="shared" si="5"/>
        <v>0</v>
      </c>
    </row>
    <row r="56" spans="1:17" x14ac:dyDescent="0.25">
      <c r="A56" s="3" t="s">
        <v>40</v>
      </c>
      <c r="B56" s="7">
        <f>B125</f>
        <v>0</v>
      </c>
      <c r="C56" s="7">
        <f>C125</f>
        <v>0</v>
      </c>
      <c r="D56" s="7">
        <f>D125</f>
        <v>0</v>
      </c>
      <c r="E56" s="7">
        <f t="shared" ref="E56:J56" si="33">E125</f>
        <v>0</v>
      </c>
      <c r="F56" s="7">
        <f>F125</f>
        <v>0</v>
      </c>
      <c r="G56" s="2">
        <f t="shared" si="33"/>
        <v>0</v>
      </c>
      <c r="H56" s="2">
        <f t="shared" si="33"/>
        <v>0</v>
      </c>
      <c r="I56" s="2">
        <f t="shared" si="33"/>
        <v>0</v>
      </c>
      <c r="J56" s="2">
        <f t="shared" si="33"/>
        <v>0</v>
      </c>
      <c r="K56" s="2">
        <f>K125</f>
        <v>0</v>
      </c>
      <c r="L56" s="2">
        <f>L125</f>
        <v>0</v>
      </c>
      <c r="M56" s="2">
        <f>M125</f>
        <v>0</v>
      </c>
      <c r="N56" s="2">
        <f t="shared" ref="N56:N63" si="34">SUM(B56:M56)</f>
        <v>0</v>
      </c>
      <c r="P56" s="2">
        <f t="shared" si="4"/>
        <v>0</v>
      </c>
      <c r="Q56" s="2">
        <f t="shared" si="5"/>
        <v>0</v>
      </c>
    </row>
    <row r="57" spans="1:17" x14ac:dyDescent="0.25">
      <c r="A57" s="3" t="s">
        <v>46</v>
      </c>
      <c r="B57" s="7">
        <f>B131+B136+B137+B174+B162+B165+B173</f>
        <v>57082.080000000009</v>
      </c>
      <c r="C57" s="7">
        <f>C131+C136+C137+C174+C162+C165+C173</f>
        <v>43072.58</v>
      </c>
      <c r="D57" s="7">
        <f>D131+D136+D137+D174+D162+D165+D173</f>
        <v>59675.47</v>
      </c>
      <c r="E57" s="7">
        <f>E131+E136+E137+E174+E162+E165+E173</f>
        <v>4134.2700000000004</v>
      </c>
      <c r="F57" s="7">
        <f>F131+F136+F137+F174+F162+F165+F173</f>
        <v>0</v>
      </c>
      <c r="G57" s="2">
        <f t="shared" ref="G57:M57" si="35">G131+G162+G136+G137+G130+G173+G174+G165</f>
        <v>0</v>
      </c>
      <c r="H57" s="2">
        <f t="shared" si="35"/>
        <v>0</v>
      </c>
      <c r="I57" s="2">
        <f t="shared" si="35"/>
        <v>0</v>
      </c>
      <c r="J57" s="2">
        <f t="shared" si="35"/>
        <v>0</v>
      </c>
      <c r="K57" s="2">
        <f t="shared" si="35"/>
        <v>0</v>
      </c>
      <c r="L57" s="2">
        <f t="shared" si="35"/>
        <v>0</v>
      </c>
      <c r="M57" s="2">
        <f t="shared" si="35"/>
        <v>0</v>
      </c>
      <c r="N57" s="2">
        <f t="shared" si="34"/>
        <v>163964.4</v>
      </c>
      <c r="P57" s="2">
        <f t="shared" si="4"/>
        <v>14905.854545454546</v>
      </c>
      <c r="Q57" s="2">
        <f t="shared" si="5"/>
        <v>-14905.854545454546</v>
      </c>
    </row>
    <row r="58" spans="1:17" x14ac:dyDescent="0.25">
      <c r="A58" s="3" t="s">
        <v>47</v>
      </c>
      <c r="B58" s="7">
        <f>B133+B135</f>
        <v>162526.82</v>
      </c>
      <c r="C58" s="7">
        <f>C133+C135</f>
        <v>186551.2</v>
      </c>
      <c r="D58" s="7">
        <f>D133+D135+D134</f>
        <v>121471.26</v>
      </c>
      <c r="E58" s="7">
        <f t="shared" ref="E58:J58" si="36">E133+E135</f>
        <v>104538.95</v>
      </c>
      <c r="F58" s="7">
        <f>F133+F135</f>
        <v>0</v>
      </c>
      <c r="G58" s="2">
        <f t="shared" si="36"/>
        <v>0</v>
      </c>
      <c r="H58" s="2">
        <f t="shared" si="36"/>
        <v>0</v>
      </c>
      <c r="I58" s="2">
        <f t="shared" si="36"/>
        <v>0</v>
      </c>
      <c r="J58" s="2">
        <f t="shared" si="36"/>
        <v>0</v>
      </c>
      <c r="K58" s="2">
        <f>K133+K135</f>
        <v>0</v>
      </c>
      <c r="L58" s="2">
        <f>L133+L135</f>
        <v>0</v>
      </c>
      <c r="M58" s="2">
        <f>M133+M135+M134</f>
        <v>0</v>
      </c>
      <c r="N58" s="2">
        <f t="shared" si="34"/>
        <v>575088.23</v>
      </c>
      <c r="P58" s="2">
        <f t="shared" si="4"/>
        <v>52280.748181818177</v>
      </c>
      <c r="Q58" s="2">
        <f t="shared" si="5"/>
        <v>-52280.748181818177</v>
      </c>
    </row>
    <row r="59" spans="1:17" x14ac:dyDescent="0.25">
      <c r="A59" s="3" t="s">
        <v>48</v>
      </c>
      <c r="B59" s="7">
        <f>B164</f>
        <v>5000</v>
      </c>
      <c r="C59" s="7">
        <f>C164</f>
        <v>16772.5</v>
      </c>
      <c r="D59" s="7">
        <f>D164</f>
        <v>-6772.5</v>
      </c>
      <c r="E59" s="7">
        <f>E164</f>
        <v>5000</v>
      </c>
      <c r="F59" s="7">
        <f>F164</f>
        <v>0</v>
      </c>
      <c r="G59" s="2">
        <f t="shared" ref="G59:J59" si="37">G164</f>
        <v>0</v>
      </c>
      <c r="H59" s="2">
        <f t="shared" si="37"/>
        <v>0</v>
      </c>
      <c r="I59" s="2">
        <f t="shared" si="37"/>
        <v>0</v>
      </c>
      <c r="J59" s="2">
        <f t="shared" si="37"/>
        <v>0</v>
      </c>
      <c r="K59" s="2">
        <f>K164</f>
        <v>0</v>
      </c>
      <c r="L59" s="2">
        <f>L164</f>
        <v>0</v>
      </c>
      <c r="M59" s="2">
        <f>M164</f>
        <v>0</v>
      </c>
      <c r="N59" s="2">
        <f t="shared" si="34"/>
        <v>20000</v>
      </c>
      <c r="P59" s="2">
        <f t="shared" si="4"/>
        <v>1818.1818181818182</v>
      </c>
      <c r="Q59" s="2">
        <f t="shared" si="5"/>
        <v>-1818.1818181818182</v>
      </c>
    </row>
    <row r="60" spans="1:17" x14ac:dyDescent="0.25">
      <c r="A60" s="3" t="s">
        <v>49</v>
      </c>
      <c r="B60" s="7">
        <f>B171+B175+B176+B170+B172</f>
        <v>15314.77</v>
      </c>
      <c r="C60" s="7">
        <f>C171+C175+C176+C170+C172</f>
        <v>24623.15</v>
      </c>
      <c r="D60" s="7">
        <f t="shared" ref="D60:M60" si="38">D171+D175+D176+D170+D172</f>
        <v>20393.25</v>
      </c>
      <c r="E60" s="7">
        <f t="shared" si="38"/>
        <v>17847.68</v>
      </c>
      <c r="F60" s="7">
        <f t="shared" si="38"/>
        <v>0</v>
      </c>
      <c r="G60" s="7">
        <f t="shared" si="38"/>
        <v>0</v>
      </c>
      <c r="H60" s="7">
        <f t="shared" si="38"/>
        <v>0</v>
      </c>
      <c r="I60" s="7">
        <f t="shared" si="38"/>
        <v>0</v>
      </c>
      <c r="J60" s="7">
        <f t="shared" si="38"/>
        <v>0</v>
      </c>
      <c r="K60" s="7">
        <f t="shared" si="38"/>
        <v>0</v>
      </c>
      <c r="L60" s="7">
        <f t="shared" si="38"/>
        <v>0</v>
      </c>
      <c r="M60" s="7">
        <f t="shared" si="38"/>
        <v>0</v>
      </c>
      <c r="N60" s="2">
        <f t="shared" si="34"/>
        <v>78178.850000000006</v>
      </c>
      <c r="P60" s="2">
        <f t="shared" si="4"/>
        <v>7107.1681818181823</v>
      </c>
      <c r="Q60" s="2">
        <f t="shared" si="5"/>
        <v>-7107.1681818181823</v>
      </c>
    </row>
    <row r="61" spans="1:17" x14ac:dyDescent="0.25">
      <c r="A61" s="3" t="s">
        <v>50</v>
      </c>
      <c r="B61" s="7">
        <f>B168</f>
        <v>28233.33</v>
      </c>
      <c r="C61" s="7">
        <f>C168</f>
        <v>28233.33</v>
      </c>
      <c r="D61" s="7">
        <f>D168</f>
        <v>28595.83</v>
      </c>
      <c r="E61" s="7">
        <f t="shared" ref="E61:J61" si="39">E168</f>
        <v>28233.33</v>
      </c>
      <c r="F61" s="7">
        <f>F168</f>
        <v>0</v>
      </c>
      <c r="G61" s="2">
        <f t="shared" si="39"/>
        <v>0</v>
      </c>
      <c r="H61" s="2">
        <f t="shared" si="39"/>
        <v>0</v>
      </c>
      <c r="I61" s="2">
        <f t="shared" si="39"/>
        <v>0</v>
      </c>
      <c r="J61" s="2">
        <f t="shared" si="39"/>
        <v>0</v>
      </c>
      <c r="K61" s="2">
        <f>K168</f>
        <v>0</v>
      </c>
      <c r="L61" s="2">
        <f>L168</f>
        <v>0</v>
      </c>
      <c r="M61" s="2">
        <f>M168</f>
        <v>0</v>
      </c>
      <c r="N61" s="2">
        <f t="shared" si="34"/>
        <v>113295.82</v>
      </c>
      <c r="P61" s="2">
        <f t="shared" si="4"/>
        <v>10299.620000000001</v>
      </c>
      <c r="Q61" s="2">
        <f t="shared" si="5"/>
        <v>-10299.620000000001</v>
      </c>
    </row>
    <row r="62" spans="1:17" x14ac:dyDescent="0.25">
      <c r="A62" s="3" t="s">
        <v>51</v>
      </c>
      <c r="B62" s="2">
        <v>0</v>
      </c>
      <c r="C62" s="2">
        <v>0</v>
      </c>
      <c r="D62" s="2"/>
      <c r="E62" s="12"/>
      <c r="F62" s="7">
        <v>0</v>
      </c>
      <c r="G62" s="2">
        <v>0</v>
      </c>
      <c r="H62" s="2"/>
      <c r="I62" s="2"/>
      <c r="J62" s="2"/>
      <c r="K62" s="2"/>
      <c r="L62" s="2"/>
      <c r="M62" s="2"/>
      <c r="N62" s="2">
        <f t="shared" si="34"/>
        <v>0</v>
      </c>
      <c r="P62" s="2">
        <f t="shared" si="4"/>
        <v>0</v>
      </c>
      <c r="Q62" s="2">
        <f t="shared" si="5"/>
        <v>0</v>
      </c>
    </row>
    <row r="63" spans="1:17" x14ac:dyDescent="0.25">
      <c r="A63" s="3" t="s">
        <v>52</v>
      </c>
      <c r="B63" s="15">
        <f>B169</f>
        <v>0</v>
      </c>
      <c r="C63" s="15">
        <f>C169</f>
        <v>878</v>
      </c>
      <c r="D63" s="29">
        <f>D169</f>
        <v>0</v>
      </c>
      <c r="E63" s="30">
        <f t="shared" ref="E63:K63" si="40">E169</f>
        <v>0</v>
      </c>
      <c r="F63" s="2">
        <f>F169</f>
        <v>0</v>
      </c>
      <c r="G63" s="2">
        <f t="shared" si="40"/>
        <v>0</v>
      </c>
      <c r="H63" s="2">
        <f t="shared" si="40"/>
        <v>0</v>
      </c>
      <c r="I63" s="2">
        <f t="shared" si="40"/>
        <v>0</v>
      </c>
      <c r="J63" s="2">
        <f t="shared" si="40"/>
        <v>0</v>
      </c>
      <c r="K63" s="2">
        <f t="shared" si="40"/>
        <v>0</v>
      </c>
      <c r="L63" s="2">
        <f>L169</f>
        <v>0</v>
      </c>
      <c r="M63" s="2">
        <f>M169</f>
        <v>0</v>
      </c>
      <c r="N63" s="2">
        <f t="shared" si="34"/>
        <v>878</v>
      </c>
      <c r="P63" s="2">
        <f t="shared" si="4"/>
        <v>79.818181818181813</v>
      </c>
      <c r="Q63" s="2">
        <f t="shared" si="5"/>
        <v>-79.818181818181813</v>
      </c>
    </row>
    <row r="64" spans="1:17" x14ac:dyDescent="0.25">
      <c r="A64" s="3" t="s">
        <v>53</v>
      </c>
      <c r="B64" s="31">
        <f>SUM(B56:B63)</f>
        <v>268157</v>
      </c>
      <c r="C64" s="31">
        <f t="shared" ref="C64:N64" si="41">SUM(C56:C63)</f>
        <v>300130.76000000007</v>
      </c>
      <c r="D64" s="15">
        <f t="shared" si="41"/>
        <v>223363.31</v>
      </c>
      <c r="E64" s="15">
        <f t="shared" si="41"/>
        <v>159754.22999999998</v>
      </c>
      <c r="F64" s="31">
        <f t="shared" si="41"/>
        <v>0</v>
      </c>
      <c r="G64" s="31">
        <f t="shared" si="41"/>
        <v>0</v>
      </c>
      <c r="H64" s="31">
        <f t="shared" si="41"/>
        <v>0</v>
      </c>
      <c r="I64" s="31">
        <f t="shared" si="41"/>
        <v>0</v>
      </c>
      <c r="J64" s="31">
        <f t="shared" si="41"/>
        <v>0</v>
      </c>
      <c r="K64" s="31">
        <f t="shared" si="41"/>
        <v>0</v>
      </c>
      <c r="L64" s="31">
        <f t="shared" si="41"/>
        <v>0</v>
      </c>
      <c r="M64" s="31">
        <f t="shared" si="41"/>
        <v>0</v>
      </c>
      <c r="N64" s="31">
        <f t="shared" si="41"/>
        <v>951405.3</v>
      </c>
      <c r="P64" s="31">
        <f t="shared" si="4"/>
        <v>86491.390909090915</v>
      </c>
      <c r="Q64" s="31">
        <f t="shared" si="5"/>
        <v>-86491.390909090915</v>
      </c>
    </row>
    <row r="65" spans="1:17" x14ac:dyDescent="0.25">
      <c r="A65" s="3" t="s">
        <v>54</v>
      </c>
      <c r="B65" s="32">
        <f>+B54-B64</f>
        <v>-179885.99</v>
      </c>
      <c r="C65" s="32">
        <f t="shared" ref="C65:N65" si="42">+C54-C64</f>
        <v>-185059.40000000008</v>
      </c>
      <c r="D65" s="32">
        <f t="shared" si="42"/>
        <v>-107826.16</v>
      </c>
      <c r="E65" s="32">
        <f t="shared" si="42"/>
        <v>-112146.59999999998</v>
      </c>
      <c r="F65" s="32">
        <f t="shared" si="42"/>
        <v>0</v>
      </c>
      <c r="G65" s="32">
        <f t="shared" si="42"/>
        <v>0</v>
      </c>
      <c r="H65" s="32">
        <f t="shared" si="42"/>
        <v>0</v>
      </c>
      <c r="I65" s="32">
        <f t="shared" si="42"/>
        <v>0</v>
      </c>
      <c r="J65" s="32">
        <f t="shared" si="42"/>
        <v>0</v>
      </c>
      <c r="K65" s="32">
        <f t="shared" si="42"/>
        <v>0</v>
      </c>
      <c r="L65" s="32">
        <f t="shared" si="42"/>
        <v>0</v>
      </c>
      <c r="M65" s="32">
        <f t="shared" si="42"/>
        <v>0</v>
      </c>
      <c r="N65" s="32">
        <f t="shared" si="42"/>
        <v>-584918.15</v>
      </c>
      <c r="P65" s="32">
        <f t="shared" si="4"/>
        <v>-53174.377272727274</v>
      </c>
      <c r="Q65" s="32">
        <f t="shared" si="5"/>
        <v>53174.377272727274</v>
      </c>
    </row>
    <row r="66" spans="1:17" x14ac:dyDescent="0.25">
      <c r="C66" s="2"/>
      <c r="D66" s="2"/>
      <c r="E66" s="12"/>
      <c r="F66" s="2"/>
      <c r="G66" s="2"/>
      <c r="H66" s="2"/>
      <c r="I66" s="2"/>
      <c r="J66" s="2"/>
      <c r="K66" s="2"/>
      <c r="L66" s="2"/>
      <c r="M66" s="2"/>
      <c r="N66" s="13"/>
      <c r="P66" s="13">
        <f t="shared" si="4"/>
        <v>0</v>
      </c>
      <c r="Q66" s="13">
        <f t="shared" si="5"/>
        <v>0</v>
      </c>
    </row>
    <row r="67" spans="1:17" x14ac:dyDescent="0.25">
      <c r="A67" s="3" t="s">
        <v>55</v>
      </c>
      <c r="B67" s="7">
        <f>B193</f>
        <v>405193.11</v>
      </c>
      <c r="C67" s="7">
        <f>C193</f>
        <v>341937.99000000005</v>
      </c>
      <c r="D67" s="7">
        <f>D193</f>
        <v>343625.55</v>
      </c>
      <c r="E67" s="7">
        <f t="shared" ref="E67:J67" si="43">E193</f>
        <v>353871.56</v>
      </c>
      <c r="F67" s="7">
        <f>F193</f>
        <v>0</v>
      </c>
      <c r="G67" s="2">
        <f t="shared" si="43"/>
        <v>0</v>
      </c>
      <c r="H67" s="2">
        <f t="shared" si="43"/>
        <v>0</v>
      </c>
      <c r="I67" s="2">
        <f t="shared" si="43"/>
        <v>0</v>
      </c>
      <c r="J67" s="2">
        <f t="shared" si="43"/>
        <v>0</v>
      </c>
      <c r="K67" s="2">
        <f>K193</f>
        <v>0</v>
      </c>
      <c r="L67" s="2">
        <f>L193</f>
        <v>0</v>
      </c>
      <c r="M67" s="2">
        <f>M193</f>
        <v>0</v>
      </c>
      <c r="N67" s="2">
        <f>SUM(B67:M67)</f>
        <v>1444628.2100000002</v>
      </c>
      <c r="P67" s="2">
        <f t="shared" si="4"/>
        <v>131329.83727272728</v>
      </c>
      <c r="Q67" s="2">
        <f t="shared" si="5"/>
        <v>-131329.83727272728</v>
      </c>
    </row>
    <row r="68" spans="1:17" x14ac:dyDescent="0.25">
      <c r="A68" s="3" t="s">
        <v>56</v>
      </c>
      <c r="B68" s="7">
        <f>B211</f>
        <v>196640.18</v>
      </c>
      <c r="C68" s="7">
        <f>C211</f>
        <v>189381.89</v>
      </c>
      <c r="D68" s="7">
        <f>D211</f>
        <v>195764.02000000002</v>
      </c>
      <c r="E68" s="7">
        <f t="shared" ref="E68:J68" si="44">E211</f>
        <v>194522.74</v>
      </c>
      <c r="F68" s="7">
        <f>F211</f>
        <v>0</v>
      </c>
      <c r="G68" s="2">
        <f t="shared" si="44"/>
        <v>0</v>
      </c>
      <c r="H68" s="2">
        <f t="shared" si="44"/>
        <v>0</v>
      </c>
      <c r="I68" s="2">
        <f t="shared" si="44"/>
        <v>0</v>
      </c>
      <c r="J68" s="2">
        <f t="shared" si="44"/>
        <v>0</v>
      </c>
      <c r="K68" s="2">
        <f>K211</f>
        <v>0</v>
      </c>
      <c r="L68" s="2">
        <f>L211</f>
        <v>0</v>
      </c>
      <c r="M68" s="2">
        <f>M211</f>
        <v>0</v>
      </c>
      <c r="N68" s="2">
        <f>SUM(B68:M68)</f>
        <v>776308.83000000007</v>
      </c>
      <c r="P68" s="2">
        <f t="shared" si="4"/>
        <v>70573.530000000013</v>
      </c>
      <c r="Q68" s="2">
        <f t="shared" si="5"/>
        <v>-70573.530000000013</v>
      </c>
    </row>
    <row r="69" spans="1:17" x14ac:dyDescent="0.25">
      <c r="A69" s="3" t="s">
        <v>57</v>
      </c>
      <c r="B69" s="7">
        <f>B234</f>
        <v>111240.83</v>
      </c>
      <c r="C69" s="7">
        <f>C234</f>
        <v>91232.060000000012</v>
      </c>
      <c r="D69" s="7">
        <f>D234</f>
        <v>94277.48</v>
      </c>
      <c r="E69" s="7">
        <f t="shared" ref="E69:J69" si="45">E234</f>
        <v>86693.110000000015</v>
      </c>
      <c r="F69" s="7">
        <f>F234</f>
        <v>0</v>
      </c>
      <c r="G69" s="2">
        <f t="shared" si="45"/>
        <v>0</v>
      </c>
      <c r="H69" s="2">
        <f t="shared" si="45"/>
        <v>0</v>
      </c>
      <c r="I69" s="2">
        <f t="shared" si="45"/>
        <v>0</v>
      </c>
      <c r="J69" s="2">
        <f t="shared" si="45"/>
        <v>0</v>
      </c>
      <c r="K69" s="2">
        <f>K234</f>
        <v>0</v>
      </c>
      <c r="L69" s="2">
        <f>L234</f>
        <v>0</v>
      </c>
      <c r="M69" s="2">
        <f>M234</f>
        <v>0</v>
      </c>
      <c r="N69" s="2">
        <f>SUM(B69:M69)</f>
        <v>383443.48</v>
      </c>
      <c r="P69" s="2">
        <f t="shared" ref="P69:P132" si="46">(N69-M69)/11</f>
        <v>34858.498181818177</v>
      </c>
      <c r="Q69" s="2">
        <f t="shared" ref="Q69:Q132" si="47">M69-P69</f>
        <v>-34858.498181818177</v>
      </c>
    </row>
    <row r="70" spans="1:17" x14ac:dyDescent="0.25">
      <c r="A70" s="3" t="s">
        <v>58</v>
      </c>
      <c r="B70" s="15">
        <f>-B243</f>
        <v>-81297.39</v>
      </c>
      <c r="C70" s="15">
        <f>-C243</f>
        <v>-60573.55</v>
      </c>
      <c r="D70" s="15">
        <f>-D243</f>
        <v>-54599.840000000004</v>
      </c>
      <c r="E70" s="14">
        <f t="shared" ref="E70:J70" si="48">-E243</f>
        <v>-82044.150000000009</v>
      </c>
      <c r="F70" s="14">
        <f>-F243</f>
        <v>0</v>
      </c>
      <c r="G70" s="14">
        <f t="shared" si="48"/>
        <v>0</v>
      </c>
      <c r="H70" s="2">
        <f t="shared" si="48"/>
        <v>0</v>
      </c>
      <c r="I70" s="2">
        <f t="shared" si="48"/>
        <v>0</v>
      </c>
      <c r="J70" s="2">
        <f t="shared" si="48"/>
        <v>0</v>
      </c>
      <c r="K70" s="2">
        <f>-K243</f>
        <v>0</v>
      </c>
      <c r="L70" s="2">
        <f>-L243</f>
        <v>0</v>
      </c>
      <c r="M70" s="2">
        <f>-M243</f>
        <v>0</v>
      </c>
      <c r="N70" s="2">
        <f>SUM(B70:M70)</f>
        <v>-278514.93</v>
      </c>
      <c r="P70" s="2">
        <f t="shared" si="46"/>
        <v>-25319.539090909089</v>
      </c>
      <c r="Q70" s="2">
        <f t="shared" si="47"/>
        <v>25319.539090909089</v>
      </c>
    </row>
    <row r="71" spans="1:17" x14ac:dyDescent="0.25">
      <c r="A71" s="3" t="s">
        <v>59</v>
      </c>
      <c r="B71" s="15">
        <f>B124</f>
        <v>-3595.4</v>
      </c>
      <c r="C71" s="15">
        <f>C124</f>
        <v>-2471.31</v>
      </c>
      <c r="D71" s="15">
        <f>D124</f>
        <v>-4621.22</v>
      </c>
      <c r="E71" s="14">
        <f t="shared" ref="E71:J71" si="49">E124</f>
        <v>-5799.91</v>
      </c>
      <c r="F71" s="14">
        <f>F124</f>
        <v>0</v>
      </c>
      <c r="G71" s="14">
        <f t="shared" si="49"/>
        <v>0</v>
      </c>
      <c r="H71" s="2">
        <f t="shared" si="49"/>
        <v>0</v>
      </c>
      <c r="I71" s="2">
        <f t="shared" si="49"/>
        <v>0</v>
      </c>
      <c r="J71" s="2">
        <f t="shared" si="49"/>
        <v>0</v>
      </c>
      <c r="K71" s="2">
        <f>K124</f>
        <v>0</v>
      </c>
      <c r="L71" s="2">
        <f>L124</f>
        <v>0</v>
      </c>
      <c r="M71" s="2">
        <f>M124</f>
        <v>0</v>
      </c>
      <c r="N71" s="2">
        <f>SUM(B71:M71)</f>
        <v>-16487.84</v>
      </c>
      <c r="P71" s="2">
        <f t="shared" si="46"/>
        <v>-1498.8945454545456</v>
      </c>
      <c r="Q71" s="2">
        <f t="shared" si="47"/>
        <v>1498.8945454545456</v>
      </c>
    </row>
    <row r="72" spans="1:17" x14ac:dyDescent="0.25">
      <c r="A72" s="3" t="s">
        <v>60</v>
      </c>
      <c r="B72" s="10">
        <f>SUM(B67:B71)</f>
        <v>628181.32999999996</v>
      </c>
      <c r="C72" s="10">
        <f>SUM(C67:C71)</f>
        <v>559507.08000000007</v>
      </c>
      <c r="D72" s="10">
        <f t="shared" ref="D72:N72" si="50">SUM(D67:D71)</f>
        <v>574445.99000000011</v>
      </c>
      <c r="E72" s="33">
        <f t="shared" si="50"/>
        <v>547243.35</v>
      </c>
      <c r="F72" s="10">
        <f t="shared" si="50"/>
        <v>0</v>
      </c>
      <c r="G72" s="10">
        <f t="shared" si="50"/>
        <v>0</v>
      </c>
      <c r="H72" s="10">
        <f>SUM(H67:H71)</f>
        <v>0</v>
      </c>
      <c r="I72" s="10">
        <f t="shared" si="50"/>
        <v>0</v>
      </c>
      <c r="J72" s="10">
        <f t="shared" si="50"/>
        <v>0</v>
      </c>
      <c r="K72" s="10">
        <f t="shared" si="50"/>
        <v>0</v>
      </c>
      <c r="L72" s="10">
        <f t="shared" si="50"/>
        <v>0</v>
      </c>
      <c r="M72" s="10">
        <f>SUM(M67:M71)</f>
        <v>0</v>
      </c>
      <c r="N72" s="10">
        <f t="shared" si="50"/>
        <v>2309377.75</v>
      </c>
      <c r="P72" s="10">
        <f t="shared" si="46"/>
        <v>209943.43181818182</v>
      </c>
      <c r="Q72" s="10">
        <f t="shared" si="47"/>
        <v>-209943.43181818182</v>
      </c>
    </row>
    <row r="73" spans="1:17" ht="27" customHeight="1" thickBot="1" x14ac:dyDescent="0.3">
      <c r="A73" s="17" t="s">
        <v>61</v>
      </c>
      <c r="B73" s="18">
        <f t="shared" ref="B73:N73" si="51">+B34+B65-B72</f>
        <v>65733.430000119261</v>
      </c>
      <c r="C73" s="18">
        <f t="shared" si="51"/>
        <v>62568.989999789977</v>
      </c>
      <c r="D73" s="18">
        <f t="shared" si="51"/>
        <v>190852.60999993072</v>
      </c>
      <c r="E73" s="18">
        <f t="shared" si="51"/>
        <v>-75463.250000041677</v>
      </c>
      <c r="F73" s="18">
        <f t="shared" si="51"/>
        <v>0</v>
      </c>
      <c r="G73" s="18">
        <f t="shared" si="51"/>
        <v>0</v>
      </c>
      <c r="H73" s="18">
        <f t="shared" si="51"/>
        <v>0</v>
      </c>
      <c r="I73" s="18">
        <f t="shared" si="51"/>
        <v>0</v>
      </c>
      <c r="J73" s="18">
        <f t="shared" si="51"/>
        <v>0</v>
      </c>
      <c r="K73" s="18">
        <f t="shared" si="51"/>
        <v>0</v>
      </c>
      <c r="L73" s="18">
        <f t="shared" si="51"/>
        <v>0</v>
      </c>
      <c r="M73" s="18">
        <f t="shared" si="51"/>
        <v>0</v>
      </c>
      <c r="N73" s="18">
        <f t="shared" si="51"/>
        <v>243691.77999982843</v>
      </c>
      <c r="P73" s="18">
        <f t="shared" si="46"/>
        <v>22153.798181802584</v>
      </c>
      <c r="Q73" s="18">
        <f t="shared" si="47"/>
        <v>-22153.798181802584</v>
      </c>
    </row>
    <row r="74" spans="1:17" ht="15.75" thickTop="1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P74" s="3">
        <f t="shared" si="46"/>
        <v>0</v>
      </c>
      <c r="Q74" s="3">
        <f t="shared" si="47"/>
        <v>0</v>
      </c>
    </row>
    <row r="75" spans="1:17" x14ac:dyDescent="0.25">
      <c r="A75" s="3" t="s">
        <v>62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P75" s="3">
        <f t="shared" si="46"/>
        <v>0</v>
      </c>
      <c r="Q75" s="3">
        <f t="shared" si="47"/>
        <v>0</v>
      </c>
    </row>
    <row r="76" spans="1:17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P76" s="2">
        <f t="shared" si="46"/>
        <v>0</v>
      </c>
      <c r="Q76" s="2">
        <f t="shared" si="47"/>
        <v>0</v>
      </c>
    </row>
    <row r="77" spans="1:17" hidden="1" x14ac:dyDescent="0.25">
      <c r="B77" s="2">
        <f t="shared" ref="B77:K77" si="52">+B73-B76</f>
        <v>65733.430000119261</v>
      </c>
      <c r="C77" s="2">
        <f t="shared" si="52"/>
        <v>62568.989999789977</v>
      </c>
      <c r="D77" s="2">
        <f t="shared" si="52"/>
        <v>190852.60999993072</v>
      </c>
      <c r="E77" s="2">
        <f t="shared" si="52"/>
        <v>-75463.250000041677</v>
      </c>
      <c r="F77" s="2">
        <f t="shared" si="52"/>
        <v>0</v>
      </c>
      <c r="G77" s="2">
        <f t="shared" si="52"/>
        <v>0</v>
      </c>
      <c r="H77" s="2">
        <f t="shared" si="52"/>
        <v>0</v>
      </c>
      <c r="I77" s="2">
        <f t="shared" si="52"/>
        <v>0</v>
      </c>
      <c r="J77" s="2">
        <f t="shared" si="52"/>
        <v>0</v>
      </c>
      <c r="K77" s="2">
        <f t="shared" si="52"/>
        <v>0</v>
      </c>
      <c r="L77" s="2">
        <v>0</v>
      </c>
      <c r="M77" s="2"/>
      <c r="N77" s="2">
        <v>0</v>
      </c>
      <c r="P77" s="2">
        <f t="shared" si="46"/>
        <v>0</v>
      </c>
      <c r="Q77" s="2">
        <f t="shared" si="47"/>
        <v>0</v>
      </c>
    </row>
    <row r="78" spans="1:17" ht="15.75" thickBot="1" x14ac:dyDescent="0.3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P78" s="3">
        <f t="shared" si="46"/>
        <v>0</v>
      </c>
      <c r="Q78" s="3">
        <f t="shared" si="47"/>
        <v>0</v>
      </c>
    </row>
    <row r="79" spans="1:17" x14ac:dyDescent="0.25">
      <c r="A79" s="34" t="s">
        <v>63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6"/>
      <c r="P79" s="36">
        <f t="shared" si="46"/>
        <v>0</v>
      </c>
      <c r="Q79" s="36">
        <f t="shared" si="47"/>
        <v>0</v>
      </c>
    </row>
    <row r="80" spans="1:17" x14ac:dyDescent="0.25">
      <c r="A80" s="37" t="s">
        <v>40</v>
      </c>
      <c r="B80" s="8">
        <f t="shared" ref="B80:E81" si="53">+B50</f>
        <v>0</v>
      </c>
      <c r="C80" s="8">
        <f t="shared" si="53"/>
        <v>0</v>
      </c>
      <c r="D80" s="8">
        <f t="shared" si="53"/>
        <v>0</v>
      </c>
      <c r="E80" s="8">
        <f t="shared" si="53"/>
        <v>0</v>
      </c>
      <c r="F80" s="8">
        <f>F101</f>
        <v>0</v>
      </c>
      <c r="G80" s="8">
        <f t="shared" ref="G80:M81" si="54">+G50</f>
        <v>0</v>
      </c>
      <c r="H80" s="8">
        <f t="shared" si="54"/>
        <v>0</v>
      </c>
      <c r="I80" s="8">
        <f t="shared" si="54"/>
        <v>0</v>
      </c>
      <c r="J80" s="8">
        <f t="shared" si="54"/>
        <v>0</v>
      </c>
      <c r="K80" s="8">
        <f t="shared" si="54"/>
        <v>0</v>
      </c>
      <c r="L80" s="8">
        <f t="shared" si="54"/>
        <v>0</v>
      </c>
      <c r="M80" s="8">
        <f t="shared" si="54"/>
        <v>0</v>
      </c>
      <c r="N80" s="38">
        <f>SUM(B80:M80)</f>
        <v>0</v>
      </c>
      <c r="P80" s="38">
        <f t="shared" si="46"/>
        <v>0</v>
      </c>
      <c r="Q80" s="38">
        <f t="shared" si="47"/>
        <v>0</v>
      </c>
    </row>
    <row r="81" spans="1:17" x14ac:dyDescent="0.25">
      <c r="A81" s="37" t="s">
        <v>64</v>
      </c>
      <c r="B81" s="8">
        <f t="shared" si="53"/>
        <v>44174.48</v>
      </c>
      <c r="C81" s="8">
        <f t="shared" si="53"/>
        <v>37026.959999999999</v>
      </c>
      <c r="D81" s="8">
        <f t="shared" si="53"/>
        <v>50952.97</v>
      </c>
      <c r="E81" s="8">
        <f t="shared" si="53"/>
        <v>17383</v>
      </c>
      <c r="F81" s="8">
        <f>F107+F118</f>
        <v>0</v>
      </c>
      <c r="G81" s="8">
        <f t="shared" si="54"/>
        <v>0</v>
      </c>
      <c r="H81" s="8">
        <f t="shared" si="54"/>
        <v>0</v>
      </c>
      <c r="I81" s="8">
        <f t="shared" si="54"/>
        <v>0</v>
      </c>
      <c r="J81" s="8">
        <f t="shared" si="54"/>
        <v>0</v>
      </c>
      <c r="K81" s="8">
        <f t="shared" si="54"/>
        <v>0</v>
      </c>
      <c r="L81" s="8">
        <f t="shared" si="54"/>
        <v>0</v>
      </c>
      <c r="M81" s="8">
        <f t="shared" si="54"/>
        <v>0</v>
      </c>
      <c r="N81" s="38">
        <f>SUM(B81:M81)</f>
        <v>149537.41</v>
      </c>
      <c r="P81" s="38">
        <f t="shared" si="46"/>
        <v>13594.31</v>
      </c>
      <c r="Q81" s="38">
        <f t="shared" si="47"/>
        <v>-13594.31</v>
      </c>
    </row>
    <row r="82" spans="1:17" x14ac:dyDescent="0.25">
      <c r="A82" s="37" t="s">
        <v>65</v>
      </c>
      <c r="B82" s="10">
        <f>SUM(B80:B81)</f>
        <v>44174.48</v>
      </c>
      <c r="C82" s="10">
        <f t="shared" ref="C82:J82" si="55">SUM(C80:C81)</f>
        <v>37026.959999999999</v>
      </c>
      <c r="D82" s="10">
        <f t="shared" si="55"/>
        <v>50952.97</v>
      </c>
      <c r="E82" s="10">
        <f t="shared" si="55"/>
        <v>17383</v>
      </c>
      <c r="F82" s="10">
        <f t="shared" si="55"/>
        <v>0</v>
      </c>
      <c r="G82" s="10">
        <f t="shared" si="55"/>
        <v>0</v>
      </c>
      <c r="H82" s="10">
        <f t="shared" si="55"/>
        <v>0</v>
      </c>
      <c r="I82" s="10">
        <f t="shared" si="55"/>
        <v>0</v>
      </c>
      <c r="J82" s="10">
        <f t="shared" si="55"/>
        <v>0</v>
      </c>
      <c r="K82" s="10">
        <f>SUM(K80:K81)</f>
        <v>0</v>
      </c>
      <c r="L82" s="10">
        <f>SUM(L80:L81)</f>
        <v>0</v>
      </c>
      <c r="M82" s="10">
        <f>SUM(M80:M81)</f>
        <v>0</v>
      </c>
      <c r="N82" s="39">
        <f>SUM(N80:N81)</f>
        <v>149537.41</v>
      </c>
      <c r="P82" s="39">
        <f t="shared" si="46"/>
        <v>13594.31</v>
      </c>
      <c r="Q82" s="39">
        <f t="shared" si="47"/>
        <v>-13594.31</v>
      </c>
    </row>
    <row r="83" spans="1:17" x14ac:dyDescent="0.25">
      <c r="A83" s="3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40"/>
      <c r="P83" s="40">
        <f t="shared" si="46"/>
        <v>0</v>
      </c>
      <c r="Q83" s="40">
        <f t="shared" si="47"/>
        <v>0</v>
      </c>
    </row>
    <row r="84" spans="1:17" x14ac:dyDescent="0.25">
      <c r="A84" s="37" t="s">
        <v>66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40"/>
      <c r="P84" s="40">
        <f t="shared" si="46"/>
        <v>0</v>
      </c>
      <c r="Q84" s="40">
        <f t="shared" si="47"/>
        <v>0</v>
      </c>
    </row>
    <row r="85" spans="1:17" x14ac:dyDescent="0.25">
      <c r="A85" s="37" t="s">
        <v>67</v>
      </c>
      <c r="B85" s="8">
        <f>+B56</f>
        <v>0</v>
      </c>
      <c r="C85" s="8">
        <f>+C56</f>
        <v>0</v>
      </c>
      <c r="D85" s="8">
        <f>+D56</f>
        <v>0</v>
      </c>
      <c r="E85" s="8">
        <f>+E56</f>
        <v>0</v>
      </c>
      <c r="F85" s="8">
        <f>F125</f>
        <v>0</v>
      </c>
      <c r="G85" s="8">
        <f t="shared" ref="G85:M85" si="56">+G56</f>
        <v>0</v>
      </c>
      <c r="H85" s="8">
        <f t="shared" si="56"/>
        <v>0</v>
      </c>
      <c r="I85" s="8">
        <f t="shared" si="56"/>
        <v>0</v>
      </c>
      <c r="J85" s="8">
        <f t="shared" si="56"/>
        <v>0</v>
      </c>
      <c r="K85" s="8">
        <f t="shared" si="56"/>
        <v>0</v>
      </c>
      <c r="L85" s="8">
        <f t="shared" si="56"/>
        <v>0</v>
      </c>
      <c r="M85" s="8">
        <f t="shared" si="56"/>
        <v>0</v>
      </c>
      <c r="N85" s="38">
        <f>SUM(B85:M85)</f>
        <v>0</v>
      </c>
      <c r="P85" s="38">
        <f t="shared" si="46"/>
        <v>0</v>
      </c>
      <c r="Q85" s="38">
        <f t="shared" si="47"/>
        <v>0</v>
      </c>
    </row>
    <row r="86" spans="1:17" x14ac:dyDescent="0.25">
      <c r="A86" s="37" t="s">
        <v>68</v>
      </c>
      <c r="B86" s="8">
        <f t="shared" ref="B86:G86" si="57">B131</f>
        <v>47744.73</v>
      </c>
      <c r="C86" s="8">
        <f t="shared" si="57"/>
        <v>40318.61</v>
      </c>
      <c r="D86" s="8">
        <f t="shared" si="57"/>
        <v>53566.29</v>
      </c>
      <c r="E86" s="8">
        <f t="shared" si="57"/>
        <v>-3427.84</v>
      </c>
      <c r="F86" s="8">
        <f t="shared" si="57"/>
        <v>0</v>
      </c>
      <c r="G86" s="8">
        <f t="shared" si="57"/>
        <v>0</v>
      </c>
      <c r="H86" s="8">
        <f>+H57</f>
        <v>0</v>
      </c>
      <c r="I86" s="8">
        <f>+I57</f>
        <v>0</v>
      </c>
      <c r="J86" s="8">
        <f>+J57</f>
        <v>0</v>
      </c>
      <c r="K86" s="8">
        <f>+K57</f>
        <v>0</v>
      </c>
      <c r="L86" s="8">
        <f>+L57</f>
        <v>0</v>
      </c>
      <c r="M86" s="8"/>
      <c r="N86" s="38">
        <f>SUM(B86:M86)</f>
        <v>138201.79</v>
      </c>
      <c r="P86" s="38">
        <f t="shared" si="46"/>
        <v>12563.799090909091</v>
      </c>
      <c r="Q86" s="38">
        <f t="shared" si="47"/>
        <v>-12563.799090909091</v>
      </c>
    </row>
    <row r="87" spans="1:17" x14ac:dyDescent="0.25">
      <c r="A87" s="37" t="s">
        <v>69</v>
      </c>
      <c r="B87" s="8">
        <f t="shared" ref="B87:L87" si="58">B162</f>
        <v>0</v>
      </c>
      <c r="C87" s="8">
        <f t="shared" si="58"/>
        <v>800</v>
      </c>
      <c r="D87" s="8">
        <f t="shared" si="58"/>
        <v>0</v>
      </c>
      <c r="E87" s="8">
        <f t="shared" si="58"/>
        <v>0</v>
      </c>
      <c r="F87" s="8">
        <f t="shared" si="58"/>
        <v>0</v>
      </c>
      <c r="G87" s="8">
        <f t="shared" si="58"/>
        <v>0</v>
      </c>
      <c r="H87" s="8">
        <f t="shared" si="58"/>
        <v>0</v>
      </c>
      <c r="I87" s="8">
        <f t="shared" si="58"/>
        <v>0</v>
      </c>
      <c r="J87" s="8">
        <f t="shared" si="58"/>
        <v>0</v>
      </c>
      <c r="K87" s="8">
        <f t="shared" si="58"/>
        <v>0</v>
      </c>
      <c r="L87" s="8">
        <f t="shared" si="58"/>
        <v>0</v>
      </c>
      <c r="M87" s="8"/>
      <c r="N87" s="38">
        <f>SUM(B87:M87)</f>
        <v>800</v>
      </c>
      <c r="P87" s="38">
        <f t="shared" si="46"/>
        <v>72.727272727272734</v>
      </c>
      <c r="Q87" s="38">
        <f t="shared" si="47"/>
        <v>-72.727272727272734</v>
      </c>
    </row>
    <row r="88" spans="1:17" x14ac:dyDescent="0.25">
      <c r="A88" s="37" t="s">
        <v>70</v>
      </c>
      <c r="B88" s="8">
        <f>B174</f>
        <v>1.87</v>
      </c>
      <c r="C88" s="8">
        <f t="shared" ref="C88:M88" si="59">C174</f>
        <v>0</v>
      </c>
      <c r="D88" s="8">
        <f t="shared" si="59"/>
        <v>-115.12</v>
      </c>
      <c r="E88" s="8">
        <f t="shared" si="59"/>
        <v>3216.06</v>
      </c>
      <c r="F88" s="8">
        <f t="shared" si="59"/>
        <v>0</v>
      </c>
      <c r="G88" s="8">
        <f t="shared" si="59"/>
        <v>0</v>
      </c>
      <c r="H88" s="8">
        <f t="shared" si="59"/>
        <v>0</v>
      </c>
      <c r="I88" s="8">
        <f t="shared" si="59"/>
        <v>0</v>
      </c>
      <c r="J88" s="8">
        <f t="shared" si="59"/>
        <v>0</v>
      </c>
      <c r="K88" s="8">
        <f t="shared" si="59"/>
        <v>0</v>
      </c>
      <c r="L88" s="8">
        <f t="shared" si="59"/>
        <v>0</v>
      </c>
      <c r="M88" s="8">
        <f t="shared" si="59"/>
        <v>0</v>
      </c>
      <c r="N88" s="38">
        <f>SUM(B88:M88)</f>
        <v>3102.81</v>
      </c>
      <c r="P88" s="38">
        <f t="shared" si="46"/>
        <v>282.07363636363635</v>
      </c>
      <c r="Q88" s="38">
        <f t="shared" si="47"/>
        <v>-282.07363636363635</v>
      </c>
    </row>
    <row r="89" spans="1:17" x14ac:dyDescent="0.25">
      <c r="A89" s="37" t="s">
        <v>71</v>
      </c>
      <c r="B89" s="8">
        <f>B63</f>
        <v>0</v>
      </c>
      <c r="C89" s="8">
        <f>C63</f>
        <v>878</v>
      </c>
      <c r="D89" s="8">
        <f>D63</f>
        <v>0</v>
      </c>
      <c r="E89" s="8">
        <f>E63</f>
        <v>0</v>
      </c>
      <c r="F89" s="8">
        <f>F169</f>
        <v>0</v>
      </c>
      <c r="G89" s="8">
        <f t="shared" ref="G89:M89" si="60">G63</f>
        <v>0</v>
      </c>
      <c r="H89" s="8">
        <f t="shared" si="60"/>
        <v>0</v>
      </c>
      <c r="I89" s="8">
        <f t="shared" si="60"/>
        <v>0</v>
      </c>
      <c r="J89" s="8">
        <f t="shared" si="60"/>
        <v>0</v>
      </c>
      <c r="K89" s="8">
        <f t="shared" si="60"/>
        <v>0</v>
      </c>
      <c r="L89" s="8">
        <f t="shared" si="60"/>
        <v>0</v>
      </c>
      <c r="M89" s="8">
        <f t="shared" si="60"/>
        <v>0</v>
      </c>
      <c r="N89" s="38">
        <f>SUM(B89:M89)</f>
        <v>878</v>
      </c>
      <c r="P89" s="38">
        <f t="shared" si="46"/>
        <v>79.818181818181813</v>
      </c>
      <c r="Q89" s="38">
        <f t="shared" si="47"/>
        <v>-79.818181818181813</v>
      </c>
    </row>
    <row r="90" spans="1:17" x14ac:dyDescent="0.25">
      <c r="A90" s="37"/>
      <c r="B90" s="10">
        <f>SUM(B85:B89)</f>
        <v>47746.600000000006</v>
      </c>
      <c r="C90" s="10">
        <f t="shared" ref="C90:L90" si="61">SUM(C85:C89)</f>
        <v>41996.61</v>
      </c>
      <c r="D90" s="10">
        <f t="shared" si="61"/>
        <v>53451.17</v>
      </c>
      <c r="E90" s="10">
        <f t="shared" si="61"/>
        <v>-211.7800000000002</v>
      </c>
      <c r="F90" s="10">
        <f t="shared" si="61"/>
        <v>0</v>
      </c>
      <c r="G90" s="10">
        <f t="shared" si="61"/>
        <v>0</v>
      </c>
      <c r="H90" s="10">
        <f t="shared" si="61"/>
        <v>0</v>
      </c>
      <c r="I90" s="10">
        <f t="shared" si="61"/>
        <v>0</v>
      </c>
      <c r="J90" s="10">
        <f t="shared" si="61"/>
        <v>0</v>
      </c>
      <c r="K90" s="10">
        <f t="shared" si="61"/>
        <v>0</v>
      </c>
      <c r="L90" s="10">
        <f t="shared" si="61"/>
        <v>0</v>
      </c>
      <c r="M90" s="10">
        <f>SUM(M85:M89)</f>
        <v>0</v>
      </c>
      <c r="N90" s="39">
        <f>SUM(N85:N89)</f>
        <v>142982.6</v>
      </c>
      <c r="P90" s="39">
        <f t="shared" si="46"/>
        <v>12998.418181818182</v>
      </c>
      <c r="Q90" s="39">
        <f t="shared" si="47"/>
        <v>-12998.418181818182</v>
      </c>
    </row>
    <row r="91" spans="1:17" ht="27" customHeight="1" thickBot="1" x14ac:dyDescent="0.3">
      <c r="A91" s="37"/>
      <c r="B91" s="41">
        <f>+B82-B90</f>
        <v>-3572.1200000000026</v>
      </c>
      <c r="C91" s="41">
        <f t="shared" ref="C91:L91" si="62">+C82-C90</f>
        <v>-4969.6500000000015</v>
      </c>
      <c r="D91" s="41">
        <f t="shared" si="62"/>
        <v>-2498.1999999999971</v>
      </c>
      <c r="E91" s="41">
        <f t="shared" si="62"/>
        <v>17594.78</v>
      </c>
      <c r="F91" s="41">
        <f t="shared" si="62"/>
        <v>0</v>
      </c>
      <c r="G91" s="41">
        <f t="shared" si="62"/>
        <v>0</v>
      </c>
      <c r="H91" s="41">
        <f t="shared" si="62"/>
        <v>0</v>
      </c>
      <c r="I91" s="41">
        <f t="shared" si="62"/>
        <v>0</v>
      </c>
      <c r="J91" s="41">
        <f t="shared" si="62"/>
        <v>0</v>
      </c>
      <c r="K91" s="41">
        <f t="shared" si="62"/>
        <v>0</v>
      </c>
      <c r="L91" s="41">
        <f t="shared" si="62"/>
        <v>0</v>
      </c>
      <c r="M91" s="41">
        <f>+M82-M90</f>
        <v>0</v>
      </c>
      <c r="N91" s="42">
        <f>+N82-N90</f>
        <v>6554.8099999999977</v>
      </c>
      <c r="P91" s="42">
        <f t="shared" si="46"/>
        <v>595.89181818181794</v>
      </c>
      <c r="Q91" s="42">
        <f t="shared" si="47"/>
        <v>-595.89181818181794</v>
      </c>
    </row>
    <row r="92" spans="1:17" ht="16.5" thickTop="1" thickBot="1" x14ac:dyDescent="0.3">
      <c r="A92" s="43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5"/>
      <c r="P92" s="45">
        <f t="shared" si="46"/>
        <v>0</v>
      </c>
      <c r="Q92" s="45">
        <f t="shared" si="47"/>
        <v>0</v>
      </c>
    </row>
    <row r="93" spans="1:17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P93" s="3">
        <f t="shared" si="46"/>
        <v>0</v>
      </c>
      <c r="Q93" s="3">
        <f t="shared" si="47"/>
        <v>0</v>
      </c>
    </row>
    <row r="94" spans="1:17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P94" s="3">
        <f t="shared" si="46"/>
        <v>0</v>
      </c>
      <c r="Q94" s="3">
        <f t="shared" si="47"/>
        <v>0</v>
      </c>
    </row>
    <row r="95" spans="1:17" s="20" customFormat="1" ht="30.75" customHeight="1" x14ac:dyDescent="0.25">
      <c r="A95" s="20" t="s">
        <v>72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13">
        <f>SUM(B95:M95)</f>
        <v>0</v>
      </c>
      <c r="P95" s="13">
        <f t="shared" si="46"/>
        <v>0</v>
      </c>
      <c r="Q95" s="13">
        <f t="shared" si="47"/>
        <v>0</v>
      </c>
    </row>
    <row r="96" spans="1:17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P96" s="3">
        <f t="shared" si="46"/>
        <v>0</v>
      </c>
      <c r="Q96" s="3">
        <f t="shared" si="47"/>
        <v>0</v>
      </c>
    </row>
    <row r="97" spans="1:17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P97" s="3">
        <f t="shared" si="46"/>
        <v>0</v>
      </c>
      <c r="Q97" s="3">
        <f t="shared" si="47"/>
        <v>0</v>
      </c>
    </row>
    <row r="98" spans="1:17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P98" s="3">
        <f t="shared" si="46"/>
        <v>0</v>
      </c>
      <c r="Q98" s="3">
        <f t="shared" si="47"/>
        <v>0</v>
      </c>
    </row>
    <row r="99" spans="1:17" s="46" customFormat="1" ht="15.75" thickBot="1" x14ac:dyDescent="0.3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P99" s="46">
        <f t="shared" si="46"/>
        <v>0</v>
      </c>
      <c r="Q99" s="46">
        <f t="shared" si="47"/>
        <v>0</v>
      </c>
    </row>
    <row r="100" spans="1:17" x14ac:dyDescent="0.25">
      <c r="A100" s="4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P100" s="3">
        <f t="shared" si="46"/>
        <v>0</v>
      </c>
      <c r="Q100" s="3">
        <f t="shared" si="47"/>
        <v>0</v>
      </c>
    </row>
    <row r="101" spans="1:17" x14ac:dyDescent="0.25">
      <c r="A101" s="3" t="s">
        <v>73</v>
      </c>
      <c r="B101" s="2">
        <v>0</v>
      </c>
      <c r="C101" s="2">
        <v>0</v>
      </c>
      <c r="D101" s="2">
        <v>0</v>
      </c>
      <c r="E101" s="2"/>
      <c r="F101" s="2"/>
      <c r="G101" s="2"/>
      <c r="H101" s="2"/>
      <c r="I101" s="2"/>
      <c r="J101" s="2"/>
      <c r="K101" s="2"/>
      <c r="L101" s="2"/>
      <c r="M101" s="2"/>
      <c r="N101" s="2">
        <f t="shared" ref="N101:N121" si="63">SUM(B101:M101)</f>
        <v>0</v>
      </c>
      <c r="P101" s="2">
        <f t="shared" si="46"/>
        <v>0</v>
      </c>
      <c r="Q101" s="2">
        <f t="shared" si="47"/>
        <v>0</v>
      </c>
    </row>
    <row r="102" spans="1:17" x14ac:dyDescent="0.25">
      <c r="A102" s="3" t="s">
        <v>74</v>
      </c>
      <c r="B102" s="2">
        <v>154744703.27000001</v>
      </c>
      <c r="C102" s="2">
        <v>123954975.27</v>
      </c>
      <c r="D102" s="2">
        <v>101935013.19</v>
      </c>
      <c r="E102" s="2">
        <v>92863307.959999993</v>
      </c>
      <c r="F102" s="2"/>
      <c r="G102" s="2"/>
      <c r="H102" s="2"/>
      <c r="I102" s="2"/>
      <c r="J102" s="2"/>
      <c r="K102" s="2"/>
      <c r="L102" s="2"/>
      <c r="M102" s="2"/>
      <c r="N102" s="2">
        <f t="shared" si="63"/>
        <v>473497999.69</v>
      </c>
      <c r="P102" s="2">
        <f t="shared" si="46"/>
        <v>43045272.699090905</v>
      </c>
      <c r="Q102" s="2">
        <f t="shared" si="47"/>
        <v>-43045272.699090905</v>
      </c>
    </row>
    <row r="103" spans="1:17" x14ac:dyDescent="0.25">
      <c r="A103" s="3" t="s">
        <v>75</v>
      </c>
      <c r="B103" s="2">
        <v>474420383.94999999</v>
      </c>
      <c r="C103" s="2">
        <v>1272769788.22</v>
      </c>
      <c r="D103" s="2">
        <v>305526926.99000001</v>
      </c>
      <c r="E103" s="2">
        <v>46941731.32</v>
      </c>
      <c r="F103" s="2"/>
      <c r="G103" s="2"/>
      <c r="H103" s="2"/>
      <c r="I103" s="2"/>
      <c r="J103" s="2"/>
      <c r="K103" s="2"/>
      <c r="L103" s="2"/>
      <c r="M103" s="2"/>
      <c r="N103" s="2">
        <f t="shared" si="63"/>
        <v>2099658830.48</v>
      </c>
      <c r="P103" s="2">
        <f t="shared" si="46"/>
        <v>190878075.49818182</v>
      </c>
      <c r="Q103" s="2">
        <f t="shared" si="47"/>
        <v>-190878075.49818182</v>
      </c>
    </row>
    <row r="104" spans="1:17" x14ac:dyDescent="0.25">
      <c r="A104" s="3" t="s">
        <v>76</v>
      </c>
      <c r="B104" s="2">
        <v>2898099.37</v>
      </c>
      <c r="C104" s="2">
        <v>2610105.7200000002</v>
      </c>
      <c r="D104" s="2">
        <v>622399.88</v>
      </c>
      <c r="E104" s="2">
        <v>1945746.84</v>
      </c>
      <c r="F104" s="2"/>
      <c r="G104" s="2"/>
      <c r="H104" s="2"/>
      <c r="I104" s="2"/>
      <c r="J104" s="2"/>
      <c r="K104" s="2"/>
      <c r="L104" s="2"/>
      <c r="M104" s="2"/>
      <c r="N104" s="2">
        <f t="shared" si="63"/>
        <v>8076351.8099999996</v>
      </c>
      <c r="P104" s="2">
        <f t="shared" si="46"/>
        <v>734213.8009090909</v>
      </c>
      <c r="Q104" s="2">
        <f t="shared" si="47"/>
        <v>-734213.8009090909</v>
      </c>
    </row>
    <row r="105" spans="1:17" x14ac:dyDescent="0.25">
      <c r="A105" s="3" t="s">
        <v>77</v>
      </c>
      <c r="B105" s="2">
        <v>3238349</v>
      </c>
      <c r="C105" s="2">
        <v>1478660.42</v>
      </c>
      <c r="D105" s="2">
        <v>1427673</v>
      </c>
      <c r="E105" s="2">
        <v>2167697.4500000002</v>
      </c>
      <c r="F105" s="2"/>
      <c r="G105" s="2"/>
      <c r="H105" s="2"/>
      <c r="I105" s="2"/>
      <c r="J105" s="2"/>
      <c r="K105" s="2"/>
      <c r="L105" s="2"/>
      <c r="M105" s="2"/>
      <c r="N105" s="2">
        <f t="shared" si="63"/>
        <v>8312379.8700000001</v>
      </c>
      <c r="P105" s="2">
        <f t="shared" si="46"/>
        <v>755670.89727272734</v>
      </c>
      <c r="Q105" s="2">
        <f t="shared" si="47"/>
        <v>-755670.89727272734</v>
      </c>
    </row>
    <row r="106" spans="1:17" x14ac:dyDescent="0.25">
      <c r="A106" s="3" t="s">
        <v>78</v>
      </c>
      <c r="B106" s="2">
        <v>0</v>
      </c>
      <c r="C106" s="2">
        <v>0</v>
      </c>
      <c r="D106" s="2">
        <v>0</v>
      </c>
      <c r="E106" s="2">
        <v>0</v>
      </c>
      <c r="F106" s="2"/>
      <c r="G106" s="2"/>
      <c r="H106" s="2"/>
      <c r="I106" s="2"/>
      <c r="J106" s="2"/>
      <c r="K106" s="2"/>
      <c r="L106" s="2"/>
      <c r="M106" s="2"/>
      <c r="N106" s="2">
        <f t="shared" si="63"/>
        <v>0</v>
      </c>
      <c r="P106" s="2">
        <f t="shared" si="46"/>
        <v>0</v>
      </c>
      <c r="Q106" s="2">
        <f t="shared" si="47"/>
        <v>0</v>
      </c>
    </row>
    <row r="107" spans="1:17" x14ac:dyDescent="0.25">
      <c r="A107" s="3" t="s">
        <v>79</v>
      </c>
      <c r="B107" s="2">
        <v>44174.48</v>
      </c>
      <c r="C107" s="2">
        <v>37026.959999999999</v>
      </c>
      <c r="D107" s="2">
        <v>50952.97</v>
      </c>
      <c r="E107" s="2">
        <v>17383</v>
      </c>
      <c r="F107" s="2"/>
      <c r="G107" s="2"/>
      <c r="H107" s="2"/>
      <c r="I107" s="2"/>
      <c r="J107" s="2"/>
      <c r="K107" s="2"/>
      <c r="L107" s="2"/>
      <c r="M107" s="2"/>
      <c r="N107" s="2">
        <f t="shared" si="63"/>
        <v>149537.41</v>
      </c>
      <c r="P107" s="2">
        <f t="shared" si="46"/>
        <v>13594.31</v>
      </c>
      <c r="Q107" s="2">
        <f t="shared" si="47"/>
        <v>-13594.31</v>
      </c>
    </row>
    <row r="108" spans="1:17" x14ac:dyDescent="0.25">
      <c r="A108" s="3" t="s">
        <v>80</v>
      </c>
      <c r="B108" s="2">
        <v>0</v>
      </c>
      <c r="C108" s="2">
        <v>40000</v>
      </c>
      <c r="D108" s="2">
        <v>0</v>
      </c>
      <c r="E108" s="2">
        <v>0</v>
      </c>
      <c r="F108" s="2"/>
      <c r="G108" s="2"/>
      <c r="H108" s="2"/>
      <c r="I108" s="2"/>
      <c r="J108" s="2"/>
      <c r="K108" s="2"/>
      <c r="L108" s="2"/>
      <c r="M108" s="2"/>
      <c r="N108" s="2">
        <f t="shared" si="63"/>
        <v>40000</v>
      </c>
      <c r="P108" s="2">
        <f t="shared" si="46"/>
        <v>3636.3636363636365</v>
      </c>
      <c r="Q108" s="2">
        <f t="shared" si="47"/>
        <v>-3636.3636363636365</v>
      </c>
    </row>
    <row r="109" spans="1:17" x14ac:dyDescent="0.25">
      <c r="A109" s="3" t="s">
        <v>81</v>
      </c>
      <c r="B109" s="2">
        <v>85825</v>
      </c>
      <c r="C109" s="2">
        <v>579872.5</v>
      </c>
      <c r="D109" s="2">
        <v>108078.75</v>
      </c>
      <c r="E109" s="2">
        <v>961999.14</v>
      </c>
      <c r="F109" s="2"/>
      <c r="G109" s="2"/>
      <c r="H109" s="2"/>
      <c r="I109" s="2"/>
      <c r="J109" s="2"/>
      <c r="K109" s="2"/>
      <c r="L109" s="2"/>
      <c r="M109" s="2"/>
      <c r="N109" s="2">
        <f t="shared" si="63"/>
        <v>1735775.3900000001</v>
      </c>
      <c r="P109" s="2">
        <f t="shared" si="46"/>
        <v>157797.76272727273</v>
      </c>
      <c r="Q109" s="2">
        <f t="shared" si="47"/>
        <v>-157797.76272727273</v>
      </c>
    </row>
    <row r="110" spans="1:17" x14ac:dyDescent="0.25">
      <c r="A110" s="3" t="s">
        <v>82</v>
      </c>
      <c r="B110" s="2">
        <v>26781.78</v>
      </c>
      <c r="C110" s="2">
        <v>27848.98</v>
      </c>
      <c r="D110" s="2">
        <v>17975.66</v>
      </c>
      <c r="E110" s="2">
        <v>19219.95</v>
      </c>
      <c r="F110" s="2"/>
      <c r="G110" s="2"/>
      <c r="H110" s="2"/>
      <c r="I110" s="2"/>
      <c r="J110" s="2"/>
      <c r="K110" s="2"/>
      <c r="L110" s="2"/>
      <c r="M110" s="2"/>
      <c r="N110" s="2">
        <f t="shared" si="63"/>
        <v>91826.37</v>
      </c>
      <c r="P110" s="2">
        <f t="shared" si="46"/>
        <v>8347.8518181818181</v>
      </c>
      <c r="Q110" s="2">
        <f t="shared" si="47"/>
        <v>-8347.8518181818181</v>
      </c>
    </row>
    <row r="111" spans="1:17" x14ac:dyDescent="0.25">
      <c r="A111" s="3" t="s">
        <v>83</v>
      </c>
      <c r="B111" s="2">
        <v>5348.08</v>
      </c>
      <c r="C111" s="2">
        <v>3319.45</v>
      </c>
      <c r="D111" s="2">
        <v>4134.66</v>
      </c>
      <c r="E111" s="2">
        <v>2672.3</v>
      </c>
      <c r="F111" s="2"/>
      <c r="G111" s="2"/>
      <c r="H111" s="2"/>
      <c r="I111" s="2"/>
      <c r="J111" s="2"/>
      <c r="K111" s="2"/>
      <c r="L111" s="2"/>
      <c r="M111" s="2"/>
      <c r="N111" s="2">
        <f t="shared" si="63"/>
        <v>15474.489999999998</v>
      </c>
      <c r="P111" s="2">
        <f t="shared" si="46"/>
        <v>1406.7718181818179</v>
      </c>
      <c r="Q111" s="2">
        <f t="shared" si="47"/>
        <v>-1406.7718181818179</v>
      </c>
    </row>
    <row r="112" spans="1:17" x14ac:dyDescent="0.25">
      <c r="A112" s="3" t="s">
        <v>84</v>
      </c>
      <c r="B112" s="2">
        <v>11966.67</v>
      </c>
      <c r="C112" s="2">
        <v>6875.97</v>
      </c>
      <c r="D112" s="2">
        <v>42473.86</v>
      </c>
      <c r="E112" s="2">
        <v>8332.3799999999992</v>
      </c>
      <c r="F112" s="2"/>
      <c r="G112" s="2"/>
      <c r="H112" s="2"/>
      <c r="I112" s="2"/>
      <c r="J112" s="2"/>
      <c r="K112" s="2"/>
      <c r="L112" s="2"/>
      <c r="M112" s="2"/>
      <c r="N112" s="2">
        <f t="shared" si="63"/>
        <v>69648.88</v>
      </c>
      <c r="P112" s="2">
        <f t="shared" si="46"/>
        <v>6331.7163636363639</v>
      </c>
      <c r="Q112" s="2">
        <f t="shared" si="47"/>
        <v>-6331.7163636363639</v>
      </c>
    </row>
    <row r="113" spans="1:17" x14ac:dyDescent="0.25">
      <c r="A113" s="3" t="s">
        <v>85</v>
      </c>
      <c r="B113" s="2">
        <v>-181274.6</v>
      </c>
      <c r="C113" s="2">
        <v>-14353247.48</v>
      </c>
      <c r="D113" s="2">
        <v>-865145</v>
      </c>
      <c r="E113" s="2">
        <v>-191768.9</v>
      </c>
      <c r="F113" s="2"/>
      <c r="G113" s="2"/>
      <c r="H113" s="2"/>
      <c r="I113" s="2"/>
      <c r="J113" s="2"/>
      <c r="K113" s="2"/>
      <c r="L113" s="2"/>
      <c r="M113" s="2"/>
      <c r="N113" s="2">
        <f t="shared" si="63"/>
        <v>-15591435.98</v>
      </c>
      <c r="P113" s="2">
        <f t="shared" si="46"/>
        <v>-1417403.270909091</v>
      </c>
      <c r="Q113" s="2">
        <f t="shared" si="47"/>
        <v>1417403.270909091</v>
      </c>
    </row>
    <row r="114" spans="1:17" x14ac:dyDescent="0.25">
      <c r="A114" s="3" t="s">
        <v>86</v>
      </c>
      <c r="B114" s="2">
        <v>-49890630.729999997</v>
      </c>
      <c r="C114" s="2">
        <v>-60452389.869999997</v>
      </c>
      <c r="D114" s="2">
        <v>-214404.86</v>
      </c>
      <c r="E114" s="2"/>
      <c r="F114" s="2"/>
      <c r="G114" s="2"/>
      <c r="H114" s="2"/>
      <c r="I114" s="2"/>
      <c r="J114" s="2"/>
      <c r="K114" s="2"/>
      <c r="L114" s="2"/>
      <c r="M114" s="2"/>
      <c r="N114" s="2">
        <f t="shared" si="63"/>
        <v>-110557425.45999999</v>
      </c>
      <c r="P114" s="2">
        <f t="shared" si="46"/>
        <v>-10050675.041818181</v>
      </c>
      <c r="Q114" s="2">
        <f t="shared" si="47"/>
        <v>10050675.041818181</v>
      </c>
    </row>
    <row r="115" spans="1:17" x14ac:dyDescent="0.25">
      <c r="A115" s="3" t="s">
        <v>87</v>
      </c>
      <c r="B115" s="2">
        <v>-13395</v>
      </c>
      <c r="C115" s="2">
        <v>-13570</v>
      </c>
      <c r="D115" s="2">
        <v>0</v>
      </c>
      <c r="E115" s="2"/>
      <c r="F115" s="2"/>
      <c r="G115" s="2"/>
      <c r="H115" s="2"/>
      <c r="I115" s="2"/>
      <c r="J115" s="2"/>
      <c r="K115" s="2"/>
      <c r="L115" s="2"/>
      <c r="M115" s="2"/>
      <c r="N115" s="2">
        <f t="shared" si="63"/>
        <v>-26965</v>
      </c>
      <c r="P115" s="2">
        <f t="shared" si="46"/>
        <v>-2451.3636363636365</v>
      </c>
      <c r="Q115" s="2">
        <f t="shared" si="47"/>
        <v>2451.3636363636365</v>
      </c>
    </row>
    <row r="116" spans="1:17" x14ac:dyDescent="0.25">
      <c r="A116" s="3" t="s">
        <v>88</v>
      </c>
      <c r="B116" s="2">
        <v>0</v>
      </c>
      <c r="C116" s="2">
        <v>0</v>
      </c>
      <c r="D116" s="2">
        <v>0</v>
      </c>
      <c r="E116" s="2"/>
      <c r="F116" s="2"/>
      <c r="G116" s="2"/>
      <c r="H116" s="2"/>
      <c r="I116" s="2"/>
      <c r="J116" s="2"/>
      <c r="K116" s="2"/>
      <c r="L116" s="2"/>
      <c r="M116" s="2"/>
      <c r="N116" s="2">
        <f t="shared" si="63"/>
        <v>0</v>
      </c>
      <c r="P116" s="2">
        <f t="shared" si="46"/>
        <v>0</v>
      </c>
      <c r="Q116" s="2">
        <f t="shared" si="47"/>
        <v>0</v>
      </c>
    </row>
    <row r="117" spans="1:17" x14ac:dyDescent="0.25">
      <c r="A117" s="3" t="s">
        <v>89</v>
      </c>
      <c r="B117" s="2">
        <v>0</v>
      </c>
      <c r="C117" s="2">
        <v>0</v>
      </c>
      <c r="D117" s="2">
        <v>0</v>
      </c>
      <c r="E117" s="2"/>
      <c r="F117" s="2"/>
      <c r="G117" s="2"/>
      <c r="H117" s="2"/>
      <c r="I117" s="2"/>
      <c r="J117" s="2"/>
      <c r="K117" s="2"/>
      <c r="L117" s="2"/>
      <c r="M117" s="2"/>
      <c r="N117" s="2">
        <f t="shared" si="63"/>
        <v>0</v>
      </c>
      <c r="P117" s="2">
        <f t="shared" si="46"/>
        <v>0</v>
      </c>
      <c r="Q117" s="2">
        <f t="shared" si="47"/>
        <v>0</v>
      </c>
    </row>
    <row r="118" spans="1:17" x14ac:dyDescent="0.25">
      <c r="A118" s="3" t="s">
        <v>90</v>
      </c>
      <c r="B118" s="2">
        <v>0</v>
      </c>
      <c r="C118" s="2">
        <v>0</v>
      </c>
      <c r="D118" s="2">
        <v>0</v>
      </c>
      <c r="E118" s="2"/>
      <c r="F118" s="2"/>
      <c r="G118" s="2"/>
      <c r="H118" s="2"/>
      <c r="I118" s="2"/>
      <c r="J118" s="2"/>
      <c r="K118" s="2"/>
      <c r="L118" s="2"/>
      <c r="M118" s="2"/>
      <c r="N118" s="2">
        <f t="shared" si="63"/>
        <v>0</v>
      </c>
      <c r="P118" s="2">
        <f t="shared" si="46"/>
        <v>0</v>
      </c>
      <c r="Q118" s="2">
        <f t="shared" si="47"/>
        <v>0</v>
      </c>
    </row>
    <row r="119" spans="1:17" x14ac:dyDescent="0.25">
      <c r="A119" s="3" t="s">
        <v>91</v>
      </c>
      <c r="B119" s="2">
        <v>0</v>
      </c>
      <c r="C119" s="2">
        <v>0</v>
      </c>
      <c r="D119" s="2">
        <v>0</v>
      </c>
      <c r="E119" s="2">
        <v>-58450</v>
      </c>
      <c r="F119" s="2"/>
      <c r="G119" s="2"/>
      <c r="H119" s="2"/>
      <c r="I119" s="2"/>
      <c r="J119" s="2"/>
      <c r="K119" s="2"/>
      <c r="L119" s="2"/>
      <c r="M119" s="2"/>
      <c r="N119" s="2">
        <f t="shared" si="63"/>
        <v>-58450</v>
      </c>
      <c r="P119" s="2">
        <f t="shared" si="46"/>
        <v>-5313.636363636364</v>
      </c>
      <c r="Q119" s="2">
        <f t="shared" si="47"/>
        <v>5313.636363636364</v>
      </c>
    </row>
    <row r="120" spans="1:17" x14ac:dyDescent="0.25">
      <c r="A120" s="9" t="s">
        <v>92</v>
      </c>
      <c r="B120" s="2">
        <v>0</v>
      </c>
      <c r="C120" s="2">
        <v>0</v>
      </c>
      <c r="D120" s="2">
        <v>0</v>
      </c>
      <c r="E120" s="2">
        <v>279000</v>
      </c>
      <c r="F120" s="2"/>
      <c r="G120" s="2"/>
      <c r="H120" s="2"/>
      <c r="I120" s="2"/>
      <c r="J120" s="2"/>
      <c r="K120" s="2"/>
      <c r="L120" s="2"/>
      <c r="M120" s="2"/>
      <c r="N120" s="2">
        <f t="shared" si="63"/>
        <v>279000</v>
      </c>
      <c r="P120" s="2"/>
      <c r="Q120" s="2"/>
    </row>
    <row r="121" spans="1:17" x14ac:dyDescent="0.25">
      <c r="A121" s="9" t="s">
        <v>93</v>
      </c>
      <c r="B121" s="2">
        <v>0</v>
      </c>
      <c r="C121" s="2">
        <v>0</v>
      </c>
      <c r="D121" s="2">
        <v>0</v>
      </c>
      <c r="E121" s="2">
        <v>13312.5</v>
      </c>
      <c r="F121" s="2"/>
      <c r="G121" s="2"/>
      <c r="H121" s="2"/>
      <c r="I121" s="2"/>
      <c r="J121" s="2"/>
      <c r="K121" s="2"/>
      <c r="L121" s="2"/>
      <c r="M121" s="2"/>
      <c r="N121" s="2">
        <f t="shared" si="63"/>
        <v>13312.5</v>
      </c>
      <c r="P121" s="2"/>
      <c r="Q121" s="2"/>
    </row>
    <row r="122" spans="1:17" s="48" customFormat="1" ht="15.75" thickBot="1" x14ac:dyDescent="0.3">
      <c r="A122" s="48" t="s">
        <v>94</v>
      </c>
      <c r="B122" s="49">
        <f>SUM(B101:B121)</f>
        <v>585390331.26999998</v>
      </c>
      <c r="C122" s="49">
        <f t="shared" ref="C122:M122" si="64">SUM(C101:C121)</f>
        <v>1326689266.1400003</v>
      </c>
      <c r="D122" s="49">
        <f t="shared" si="64"/>
        <v>408656079.10000008</v>
      </c>
      <c r="E122" s="49">
        <f t="shared" si="64"/>
        <v>144970183.93999997</v>
      </c>
      <c r="F122" s="49">
        <f t="shared" si="64"/>
        <v>0</v>
      </c>
      <c r="G122" s="49">
        <f t="shared" si="64"/>
        <v>0</v>
      </c>
      <c r="H122" s="49">
        <f t="shared" si="64"/>
        <v>0</v>
      </c>
      <c r="I122" s="49">
        <f t="shared" si="64"/>
        <v>0</v>
      </c>
      <c r="J122" s="49">
        <f t="shared" si="64"/>
        <v>0</v>
      </c>
      <c r="K122" s="49">
        <f t="shared" si="64"/>
        <v>0</v>
      </c>
      <c r="L122" s="49">
        <f t="shared" si="64"/>
        <v>0</v>
      </c>
      <c r="M122" s="49">
        <f t="shared" si="64"/>
        <v>0</v>
      </c>
      <c r="N122" s="49">
        <f>SUM(N101:N121)</f>
        <v>2465705860.4499993</v>
      </c>
      <c r="P122" s="49">
        <f t="shared" si="46"/>
        <v>224155078.22272721</v>
      </c>
      <c r="Q122" s="49">
        <f t="shared" si="47"/>
        <v>-224155078.22272721</v>
      </c>
    </row>
    <row r="123" spans="1:17" ht="15.75" thickTop="1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P123" s="2">
        <f t="shared" si="46"/>
        <v>0</v>
      </c>
      <c r="Q123" s="2">
        <f t="shared" si="47"/>
        <v>0</v>
      </c>
    </row>
    <row r="124" spans="1:17" x14ac:dyDescent="0.25">
      <c r="A124" s="3" t="s">
        <v>95</v>
      </c>
      <c r="B124" s="2">
        <v>-3595.4</v>
      </c>
      <c r="C124" s="2">
        <v>-2471.31</v>
      </c>
      <c r="D124" s="7">
        <v>-4621.22</v>
      </c>
      <c r="E124" s="2">
        <v>-5799.91</v>
      </c>
      <c r="F124" s="2"/>
      <c r="G124" s="2"/>
      <c r="H124" s="2"/>
      <c r="I124" s="2"/>
      <c r="J124" s="2"/>
      <c r="K124" s="2"/>
      <c r="L124" s="2"/>
      <c r="M124" s="2"/>
      <c r="N124" s="2">
        <f t="shared" ref="N124:N155" si="65">SUM(B124:M124)</f>
        <v>-16487.84</v>
      </c>
      <c r="P124" s="2">
        <f t="shared" si="46"/>
        <v>-1498.8945454545456</v>
      </c>
      <c r="Q124" s="2">
        <f t="shared" si="47"/>
        <v>1498.8945454545456</v>
      </c>
    </row>
    <row r="125" spans="1:17" x14ac:dyDescent="0.25">
      <c r="A125" s="3" t="s">
        <v>96</v>
      </c>
      <c r="B125" s="2">
        <v>0</v>
      </c>
      <c r="C125" s="2">
        <v>0</v>
      </c>
      <c r="D125" s="7">
        <v>0</v>
      </c>
      <c r="E125" s="2"/>
      <c r="F125" s="2"/>
      <c r="G125" s="2"/>
      <c r="H125" s="2"/>
      <c r="I125" s="2"/>
      <c r="J125" s="2"/>
      <c r="K125" s="2"/>
      <c r="L125" s="2"/>
      <c r="M125" s="2"/>
      <c r="N125" s="2">
        <f t="shared" si="65"/>
        <v>0</v>
      </c>
      <c r="P125" s="2">
        <f t="shared" si="46"/>
        <v>0</v>
      </c>
      <c r="Q125" s="2">
        <f t="shared" si="47"/>
        <v>0</v>
      </c>
    </row>
    <row r="126" spans="1:17" x14ac:dyDescent="0.25">
      <c r="A126" s="3" t="s">
        <v>97</v>
      </c>
      <c r="B126" s="2">
        <v>155441266.31</v>
      </c>
      <c r="C126" s="2">
        <v>109044152.26000001</v>
      </c>
      <c r="D126" s="7">
        <v>100539266.20999999</v>
      </c>
      <c r="E126" s="2">
        <v>91915243.909999996</v>
      </c>
      <c r="F126" s="2"/>
      <c r="G126" s="2"/>
      <c r="H126" s="2"/>
      <c r="I126" s="2"/>
      <c r="J126" s="2"/>
      <c r="K126" s="2"/>
      <c r="L126" s="2"/>
      <c r="M126" s="2"/>
      <c r="N126" s="2">
        <f t="shared" si="65"/>
        <v>456939928.68999994</v>
      </c>
      <c r="P126" s="2">
        <f t="shared" si="46"/>
        <v>41539993.517272718</v>
      </c>
      <c r="Q126" s="2">
        <f t="shared" si="47"/>
        <v>-41539993.517272718</v>
      </c>
    </row>
    <row r="127" spans="1:17" x14ac:dyDescent="0.25">
      <c r="A127" s="3" t="s">
        <v>98</v>
      </c>
      <c r="B127" s="2">
        <v>422458884.52999997</v>
      </c>
      <c r="C127" s="2">
        <v>1215702481.6500001</v>
      </c>
      <c r="D127" s="7">
        <v>305866481.80000001</v>
      </c>
      <c r="E127" s="2">
        <v>46984540.060000002</v>
      </c>
      <c r="F127" s="2"/>
      <c r="G127" s="2"/>
      <c r="H127" s="2"/>
      <c r="I127" s="2"/>
      <c r="J127" s="2"/>
      <c r="K127" s="2"/>
      <c r="L127" s="2"/>
      <c r="M127" s="2"/>
      <c r="N127" s="2">
        <f t="shared" si="65"/>
        <v>1991012388.04</v>
      </c>
      <c r="P127" s="2">
        <f t="shared" si="46"/>
        <v>181001126.18545455</v>
      </c>
      <c r="Q127" s="2">
        <f t="shared" si="47"/>
        <v>-181001126.18545455</v>
      </c>
    </row>
    <row r="128" spans="1:17" x14ac:dyDescent="0.25">
      <c r="A128" s="3" t="s">
        <v>99</v>
      </c>
      <c r="B128" s="2">
        <v>2776246.68</v>
      </c>
      <c r="C128" s="2">
        <v>2484320.38</v>
      </c>
      <c r="D128" s="7">
        <v>617771.9</v>
      </c>
      <c r="E128" s="2">
        <v>1936970.97</v>
      </c>
      <c r="F128" s="2"/>
      <c r="G128" s="2"/>
      <c r="H128" s="2"/>
      <c r="I128" s="2"/>
      <c r="J128" s="2"/>
      <c r="K128" s="2"/>
      <c r="L128" s="2"/>
      <c r="M128" s="2"/>
      <c r="N128" s="2">
        <f t="shared" si="65"/>
        <v>7815309.9300000006</v>
      </c>
      <c r="P128" s="2">
        <f t="shared" si="46"/>
        <v>710482.72090909095</v>
      </c>
      <c r="Q128" s="2">
        <f t="shared" si="47"/>
        <v>-710482.72090909095</v>
      </c>
    </row>
    <row r="129" spans="1:17" x14ac:dyDescent="0.25">
      <c r="A129" s="3" t="s">
        <v>100</v>
      </c>
      <c r="B129" s="2">
        <v>3078499.21</v>
      </c>
      <c r="C129" s="2">
        <v>1513901.47</v>
      </c>
      <c r="D129" s="7">
        <v>1441767.82</v>
      </c>
      <c r="E129" s="2">
        <v>2113636.39</v>
      </c>
      <c r="F129" s="2"/>
      <c r="G129" s="2"/>
      <c r="H129" s="2"/>
      <c r="I129" s="2"/>
      <c r="J129" s="2"/>
      <c r="K129" s="2"/>
      <c r="L129" s="2"/>
      <c r="M129" s="2"/>
      <c r="N129" s="2">
        <f t="shared" si="65"/>
        <v>8147804.8900000006</v>
      </c>
      <c r="P129" s="2">
        <f t="shared" si="46"/>
        <v>740709.53545454552</v>
      </c>
      <c r="Q129" s="2">
        <f t="shared" si="47"/>
        <v>-740709.53545454552</v>
      </c>
    </row>
    <row r="130" spans="1:17" x14ac:dyDescent="0.25">
      <c r="A130" s="3" t="s">
        <v>101</v>
      </c>
      <c r="B130" s="2">
        <v>0</v>
      </c>
      <c r="C130" s="2">
        <v>0</v>
      </c>
      <c r="D130" s="7">
        <v>0</v>
      </c>
      <c r="E130" s="2">
        <v>0</v>
      </c>
      <c r="F130" s="2"/>
      <c r="G130" s="2"/>
      <c r="H130" s="2"/>
      <c r="I130" s="2"/>
      <c r="J130" s="2"/>
      <c r="K130" s="2"/>
      <c r="L130" s="2"/>
      <c r="M130" s="2"/>
      <c r="N130" s="2">
        <f t="shared" si="65"/>
        <v>0</v>
      </c>
      <c r="P130" s="2">
        <f t="shared" si="46"/>
        <v>0</v>
      </c>
      <c r="Q130" s="2">
        <f t="shared" si="47"/>
        <v>0</v>
      </c>
    </row>
    <row r="131" spans="1:17" x14ac:dyDescent="0.25">
      <c r="A131" s="3" t="s">
        <v>102</v>
      </c>
      <c r="B131" s="2">
        <v>47744.73</v>
      </c>
      <c r="C131" s="2">
        <v>40318.61</v>
      </c>
      <c r="D131" s="7">
        <v>53566.29</v>
      </c>
      <c r="E131" s="2">
        <v>-3427.84</v>
      </c>
      <c r="F131" s="2"/>
      <c r="G131" s="2"/>
      <c r="H131" s="2"/>
      <c r="I131" s="2"/>
      <c r="J131" s="2"/>
      <c r="K131" s="2"/>
      <c r="L131" s="2"/>
      <c r="M131" s="2"/>
      <c r="N131" s="2">
        <f t="shared" si="65"/>
        <v>138201.79</v>
      </c>
      <c r="P131" s="2">
        <f t="shared" si="46"/>
        <v>12563.799090909091</v>
      </c>
      <c r="Q131" s="2">
        <f t="shared" si="47"/>
        <v>-12563.799090909091</v>
      </c>
    </row>
    <row r="132" spans="1:17" x14ac:dyDescent="0.25">
      <c r="A132" s="3" t="s">
        <v>103</v>
      </c>
      <c r="B132" s="2">
        <v>82580.429999999993</v>
      </c>
      <c r="C132" s="2">
        <v>556415.63</v>
      </c>
      <c r="D132" s="7">
        <v>104546.19</v>
      </c>
      <c r="E132" s="2">
        <v>891459.31</v>
      </c>
      <c r="F132" s="2"/>
      <c r="G132" s="2"/>
      <c r="H132" s="2"/>
      <c r="I132" s="2"/>
      <c r="J132" s="2"/>
      <c r="K132" s="2"/>
      <c r="L132" s="2"/>
      <c r="M132" s="2"/>
      <c r="N132" s="2">
        <f t="shared" si="65"/>
        <v>1635001.56</v>
      </c>
      <c r="P132" s="2">
        <f t="shared" si="46"/>
        <v>148636.50545454546</v>
      </c>
      <c r="Q132" s="2">
        <f t="shared" si="47"/>
        <v>-148636.50545454546</v>
      </c>
    </row>
    <row r="133" spans="1:17" x14ac:dyDescent="0.25">
      <c r="A133" s="3" t="s">
        <v>104</v>
      </c>
      <c r="B133" s="2">
        <v>162526.82</v>
      </c>
      <c r="C133" s="2">
        <v>186551.2</v>
      </c>
      <c r="D133" s="7">
        <v>120971.26</v>
      </c>
      <c r="E133" s="2">
        <v>104538.95</v>
      </c>
      <c r="F133" s="2"/>
      <c r="G133" s="2"/>
      <c r="H133" s="2"/>
      <c r="I133" s="2"/>
      <c r="J133" s="2"/>
      <c r="K133" s="2"/>
      <c r="L133" s="2"/>
      <c r="M133" s="2"/>
      <c r="N133" s="2">
        <f t="shared" si="65"/>
        <v>574588.23</v>
      </c>
      <c r="P133" s="2">
        <f t="shared" ref="P133:P194" si="66">(N133-M133)/11</f>
        <v>52235.293636363633</v>
      </c>
      <c r="Q133" s="2">
        <f t="shared" ref="Q133:Q194" si="67">M133-P133</f>
        <v>-52235.293636363633</v>
      </c>
    </row>
    <row r="134" spans="1:17" x14ac:dyDescent="0.25">
      <c r="A134" s="3" t="s">
        <v>105</v>
      </c>
      <c r="B134" s="2">
        <v>0</v>
      </c>
      <c r="C134" s="2">
        <v>0</v>
      </c>
      <c r="D134" s="7">
        <v>500</v>
      </c>
      <c r="E134" s="2">
        <v>0</v>
      </c>
      <c r="F134" s="2"/>
      <c r="G134" s="2"/>
      <c r="H134" s="2"/>
      <c r="I134" s="2"/>
      <c r="J134" s="2"/>
      <c r="K134" s="2"/>
      <c r="L134" s="2"/>
      <c r="M134" s="2"/>
      <c r="N134" s="2">
        <f t="shared" si="65"/>
        <v>500</v>
      </c>
      <c r="P134" s="2">
        <f t="shared" si="66"/>
        <v>45.454545454545453</v>
      </c>
      <c r="Q134" s="2">
        <f t="shared" si="67"/>
        <v>-45.454545454545453</v>
      </c>
    </row>
    <row r="135" spans="1:17" x14ac:dyDescent="0.25">
      <c r="A135" s="3" t="s">
        <v>106</v>
      </c>
      <c r="B135" s="2">
        <v>0</v>
      </c>
      <c r="C135" s="2">
        <v>0</v>
      </c>
      <c r="D135" s="7">
        <v>0</v>
      </c>
      <c r="E135" s="2">
        <v>0</v>
      </c>
      <c r="F135" s="2"/>
      <c r="G135" s="2"/>
      <c r="H135" s="2"/>
      <c r="I135" s="2"/>
      <c r="J135" s="2"/>
      <c r="K135" s="2"/>
      <c r="L135" s="2"/>
      <c r="M135" s="2"/>
      <c r="N135" s="2">
        <f t="shared" si="65"/>
        <v>0</v>
      </c>
      <c r="P135" s="2">
        <f t="shared" si="66"/>
        <v>0</v>
      </c>
      <c r="Q135" s="2">
        <f t="shared" si="67"/>
        <v>0</v>
      </c>
    </row>
    <row r="136" spans="1:17" x14ac:dyDescent="0.25">
      <c r="A136" s="3" t="s">
        <v>107</v>
      </c>
      <c r="B136" s="2">
        <v>9335.48</v>
      </c>
      <c r="C136" s="2">
        <v>703.97</v>
      </c>
      <c r="D136" s="7">
        <v>6224.3</v>
      </c>
      <c r="E136" s="2">
        <v>4346.05</v>
      </c>
      <c r="F136" s="2"/>
      <c r="G136" s="2"/>
      <c r="H136" s="2"/>
      <c r="I136" s="2"/>
      <c r="J136" s="2"/>
      <c r="K136" s="2"/>
      <c r="L136" s="2"/>
      <c r="M136" s="2"/>
      <c r="N136" s="2">
        <f t="shared" si="65"/>
        <v>20609.8</v>
      </c>
      <c r="P136" s="2">
        <f t="shared" si="66"/>
        <v>1873.6181818181817</v>
      </c>
      <c r="Q136" s="2">
        <f t="shared" si="67"/>
        <v>-1873.6181818181817</v>
      </c>
    </row>
    <row r="137" spans="1:17" x14ac:dyDescent="0.25">
      <c r="A137" s="3" t="s">
        <v>108</v>
      </c>
      <c r="B137" s="2">
        <v>0</v>
      </c>
      <c r="C137" s="2">
        <v>1250</v>
      </c>
      <c r="D137" s="7">
        <v>0</v>
      </c>
      <c r="E137" s="2">
        <v>0</v>
      </c>
      <c r="F137" s="2"/>
      <c r="G137" s="2"/>
      <c r="H137" s="2"/>
      <c r="I137" s="2"/>
      <c r="J137" s="2"/>
      <c r="K137" s="2"/>
      <c r="L137" s="2"/>
      <c r="M137" s="2"/>
      <c r="N137" s="2">
        <f t="shared" si="65"/>
        <v>1250</v>
      </c>
      <c r="P137" s="2">
        <f t="shared" si="66"/>
        <v>113.63636363636364</v>
      </c>
      <c r="Q137" s="2">
        <f t="shared" si="67"/>
        <v>-113.63636363636364</v>
      </c>
    </row>
    <row r="138" spans="1:17" x14ac:dyDescent="0.25">
      <c r="A138" s="3" t="s">
        <v>109</v>
      </c>
      <c r="B138" s="2">
        <v>93164865.799999997</v>
      </c>
      <c r="C138" s="2">
        <v>43694992.5</v>
      </c>
      <c r="D138" s="7">
        <v>49872500</v>
      </c>
      <c r="E138" s="2">
        <v>37423820</v>
      </c>
      <c r="F138" s="2"/>
      <c r="G138" s="2"/>
      <c r="H138" s="2"/>
      <c r="I138" s="2"/>
      <c r="J138" s="2"/>
      <c r="K138" s="2"/>
      <c r="L138" s="2"/>
      <c r="M138" s="2"/>
      <c r="N138" s="2">
        <f t="shared" si="65"/>
        <v>224156178.30000001</v>
      </c>
      <c r="P138" s="2">
        <f t="shared" si="66"/>
        <v>20377834.390909091</v>
      </c>
      <c r="Q138" s="2">
        <f t="shared" si="67"/>
        <v>-20377834.390909091</v>
      </c>
    </row>
    <row r="139" spans="1:17" x14ac:dyDescent="0.25">
      <c r="A139" s="3" t="s">
        <v>110</v>
      </c>
      <c r="B139" s="2">
        <v>39860269.659999996</v>
      </c>
      <c r="C139" s="2">
        <v>50039912.299999997</v>
      </c>
      <c r="D139" s="7">
        <v>119070965.51000001</v>
      </c>
      <c r="E139" s="2">
        <v>32569174</v>
      </c>
      <c r="F139" s="2"/>
      <c r="G139" s="2"/>
      <c r="H139" s="2"/>
      <c r="I139" s="2"/>
      <c r="J139" s="2"/>
      <c r="K139" s="2"/>
      <c r="L139" s="2"/>
      <c r="M139" s="2"/>
      <c r="N139" s="2">
        <f t="shared" si="65"/>
        <v>241540321.47</v>
      </c>
      <c r="P139" s="2">
        <f t="shared" si="66"/>
        <v>21958211.042727273</v>
      </c>
      <c r="Q139" s="2">
        <f t="shared" si="67"/>
        <v>-21958211.042727273</v>
      </c>
    </row>
    <row r="140" spans="1:17" x14ac:dyDescent="0.25">
      <c r="A140" s="3" t="s">
        <v>111</v>
      </c>
      <c r="B140" s="2">
        <v>0</v>
      </c>
      <c r="C140" s="2">
        <v>252635</v>
      </c>
      <c r="D140" s="7">
        <v>333245</v>
      </c>
      <c r="E140" s="2">
        <v>95125</v>
      </c>
      <c r="F140" s="2"/>
      <c r="G140" s="2"/>
      <c r="H140" s="2"/>
      <c r="I140" s="2"/>
      <c r="J140" s="2"/>
      <c r="K140" s="2"/>
      <c r="L140" s="2"/>
      <c r="M140" s="2"/>
      <c r="N140" s="2">
        <f t="shared" si="65"/>
        <v>681005</v>
      </c>
      <c r="P140" s="2">
        <f t="shared" si="66"/>
        <v>61909.545454545456</v>
      </c>
      <c r="Q140" s="2">
        <f t="shared" si="67"/>
        <v>-61909.545454545456</v>
      </c>
    </row>
    <row r="141" spans="1:17" x14ac:dyDescent="0.25">
      <c r="A141" s="47" t="s">
        <v>112</v>
      </c>
      <c r="B141" s="2">
        <v>0</v>
      </c>
      <c r="C141" s="2">
        <v>0</v>
      </c>
      <c r="D141" s="7">
        <v>0</v>
      </c>
      <c r="E141" s="2">
        <v>0</v>
      </c>
      <c r="F141" s="2"/>
      <c r="G141" s="2"/>
      <c r="H141" s="2"/>
      <c r="I141" s="2"/>
      <c r="J141" s="2"/>
      <c r="K141" s="2"/>
      <c r="L141" s="2"/>
      <c r="M141" s="2"/>
      <c r="N141" s="2">
        <f t="shared" si="65"/>
        <v>0</v>
      </c>
      <c r="P141" s="2">
        <f t="shared" si="66"/>
        <v>0</v>
      </c>
      <c r="Q141" s="2">
        <f t="shared" si="67"/>
        <v>0</v>
      </c>
    </row>
    <row r="142" spans="1:17" x14ac:dyDescent="0.25">
      <c r="A142" s="3" t="s">
        <v>113</v>
      </c>
      <c r="B142" s="2">
        <v>-250773118.75999999</v>
      </c>
      <c r="C142" s="2">
        <v>-106292010.51000001</v>
      </c>
      <c r="D142" s="7">
        <v>-199926459.47999999</v>
      </c>
      <c r="E142" s="2">
        <v>-102886856.97</v>
      </c>
      <c r="F142" s="2"/>
      <c r="G142" s="2"/>
      <c r="H142" s="2"/>
      <c r="I142" s="2"/>
      <c r="J142" s="2"/>
      <c r="K142" s="2"/>
      <c r="L142" s="2"/>
      <c r="M142" s="2"/>
      <c r="N142" s="2">
        <f t="shared" si="65"/>
        <v>-659878445.72000003</v>
      </c>
      <c r="P142" s="2">
        <f t="shared" si="66"/>
        <v>-59988949.610909097</v>
      </c>
      <c r="Q142" s="2">
        <f t="shared" si="67"/>
        <v>59988949.610909097</v>
      </c>
    </row>
    <row r="143" spans="1:17" x14ac:dyDescent="0.25">
      <c r="A143" s="3" t="s">
        <v>114</v>
      </c>
      <c r="B143" s="2">
        <v>-94616255.870000005</v>
      </c>
      <c r="C143" s="2">
        <v>-43709010</v>
      </c>
      <c r="D143" s="7">
        <v>-50522100</v>
      </c>
      <c r="E143" s="2">
        <v>-37084810</v>
      </c>
      <c r="F143" s="2"/>
      <c r="G143" s="2"/>
      <c r="H143" s="2"/>
      <c r="I143" s="2"/>
      <c r="J143" s="2"/>
      <c r="K143" s="2"/>
      <c r="L143" s="2"/>
      <c r="M143" s="2"/>
      <c r="N143" s="2">
        <f t="shared" si="65"/>
        <v>-225932175.87</v>
      </c>
      <c r="P143" s="2">
        <f t="shared" si="66"/>
        <v>-20539288.715454545</v>
      </c>
      <c r="Q143" s="2">
        <f t="shared" si="67"/>
        <v>20539288.715454545</v>
      </c>
    </row>
    <row r="144" spans="1:17" x14ac:dyDescent="0.25">
      <c r="A144" s="3" t="s">
        <v>115</v>
      </c>
      <c r="B144" s="2">
        <v>-39572318.009999998</v>
      </c>
      <c r="C144" s="2">
        <v>-54501789.609999999</v>
      </c>
      <c r="D144" s="7">
        <v>-119003409.98</v>
      </c>
      <c r="E144" s="2">
        <v>-35983600</v>
      </c>
      <c r="F144" s="2"/>
      <c r="G144" s="2"/>
      <c r="H144" s="2"/>
      <c r="I144" s="2"/>
      <c r="J144" s="2"/>
      <c r="K144" s="2"/>
      <c r="L144" s="2"/>
      <c r="M144" s="2"/>
      <c r="N144" s="2">
        <f t="shared" si="65"/>
        <v>-249061117.60000002</v>
      </c>
      <c r="P144" s="2">
        <f t="shared" si="66"/>
        <v>-22641919.781818185</v>
      </c>
      <c r="Q144" s="2">
        <f t="shared" si="67"/>
        <v>22641919.781818185</v>
      </c>
    </row>
    <row r="145" spans="1:17" x14ac:dyDescent="0.25">
      <c r="A145" s="3" t="s">
        <v>116</v>
      </c>
      <c r="B145" s="2">
        <v>0</v>
      </c>
      <c r="C145" s="2">
        <v>-248100</v>
      </c>
      <c r="D145" s="7">
        <v>-337135</v>
      </c>
      <c r="E145" s="2">
        <v>-95680</v>
      </c>
      <c r="F145" s="2"/>
      <c r="G145" s="2"/>
      <c r="H145" s="2"/>
      <c r="I145" s="2"/>
      <c r="J145" s="2"/>
      <c r="K145" s="2"/>
      <c r="L145" s="2"/>
      <c r="M145" s="2"/>
      <c r="N145" s="2">
        <f t="shared" si="65"/>
        <v>-680915</v>
      </c>
      <c r="P145" s="2">
        <f t="shared" si="66"/>
        <v>-61901.36363636364</v>
      </c>
      <c r="Q145" s="2">
        <f t="shared" si="67"/>
        <v>61901.36363636364</v>
      </c>
    </row>
    <row r="146" spans="1:17" x14ac:dyDescent="0.25">
      <c r="A146" s="47" t="s">
        <v>117</v>
      </c>
      <c r="B146" s="2">
        <v>0</v>
      </c>
      <c r="C146" s="2">
        <v>0</v>
      </c>
      <c r="D146" s="7">
        <v>0</v>
      </c>
      <c r="E146" s="2">
        <v>0</v>
      </c>
      <c r="F146" s="2"/>
      <c r="G146" s="2"/>
      <c r="H146" s="2"/>
      <c r="I146" s="2"/>
      <c r="J146" s="2"/>
      <c r="K146" s="2"/>
      <c r="L146" s="2"/>
      <c r="M146" s="2"/>
      <c r="N146" s="2">
        <f t="shared" si="65"/>
        <v>0</v>
      </c>
      <c r="P146" s="2">
        <f t="shared" si="66"/>
        <v>0</v>
      </c>
      <c r="Q146" s="2">
        <f t="shared" si="67"/>
        <v>0</v>
      </c>
    </row>
    <row r="147" spans="1:17" x14ac:dyDescent="0.25">
      <c r="A147" s="3" t="s">
        <v>118</v>
      </c>
      <c r="B147" s="2">
        <v>246469534.72</v>
      </c>
      <c r="C147" s="2">
        <v>106061841.73</v>
      </c>
      <c r="D147" s="7">
        <v>199824413.44</v>
      </c>
      <c r="E147" s="2">
        <v>102901638.84999999</v>
      </c>
      <c r="F147" s="2"/>
      <c r="G147" s="2"/>
      <c r="H147" s="2"/>
      <c r="I147" s="2"/>
      <c r="J147" s="2"/>
      <c r="K147" s="2"/>
      <c r="L147" s="2"/>
      <c r="M147" s="2"/>
      <c r="N147" s="2">
        <f t="shared" si="65"/>
        <v>655257428.74000001</v>
      </c>
      <c r="P147" s="2">
        <f t="shared" si="66"/>
        <v>59568857.158181816</v>
      </c>
      <c r="Q147" s="2">
        <f t="shared" si="67"/>
        <v>-59568857.158181816</v>
      </c>
    </row>
    <row r="148" spans="1:17" x14ac:dyDescent="0.25">
      <c r="A148" s="3" t="s">
        <v>119</v>
      </c>
      <c r="B148" s="2">
        <v>57035597.560000002</v>
      </c>
      <c r="C148" s="2">
        <v>15207183.189999999</v>
      </c>
      <c r="D148" s="7">
        <v>56539241.420000002</v>
      </c>
      <c r="E148" s="2">
        <v>530220449.82999998</v>
      </c>
      <c r="F148" s="2"/>
      <c r="G148" s="2"/>
      <c r="H148" s="2"/>
      <c r="I148" s="2"/>
      <c r="J148" s="2"/>
      <c r="K148" s="2"/>
      <c r="L148" s="2"/>
      <c r="M148" s="2"/>
      <c r="N148" s="2">
        <f t="shared" si="65"/>
        <v>659002472</v>
      </c>
      <c r="P148" s="2">
        <f t="shared" si="66"/>
        <v>59909315.636363633</v>
      </c>
      <c r="Q148" s="2">
        <f t="shared" si="67"/>
        <v>-59909315.636363633</v>
      </c>
    </row>
    <row r="149" spans="1:17" x14ac:dyDescent="0.25">
      <c r="A149" s="3" t="s">
        <v>120</v>
      </c>
      <c r="B149" s="2">
        <v>598572.09</v>
      </c>
      <c r="C149" s="2">
        <v>1754577.38</v>
      </c>
      <c r="D149" s="7">
        <v>588811.42000000004</v>
      </c>
      <c r="E149" s="2">
        <v>283948.55</v>
      </c>
      <c r="F149" s="2"/>
      <c r="G149" s="2"/>
      <c r="H149" s="2"/>
      <c r="I149" s="2"/>
      <c r="J149" s="2"/>
      <c r="K149" s="2"/>
      <c r="L149" s="2"/>
      <c r="M149" s="2"/>
      <c r="N149" s="2">
        <f t="shared" si="65"/>
        <v>3225909.4399999995</v>
      </c>
      <c r="P149" s="2">
        <f t="shared" si="66"/>
        <v>293264.49454545451</v>
      </c>
      <c r="Q149" s="2">
        <f t="shared" si="67"/>
        <v>-293264.49454545451</v>
      </c>
    </row>
    <row r="150" spans="1:17" x14ac:dyDescent="0.25">
      <c r="A150" s="3" t="s">
        <v>121</v>
      </c>
      <c r="B150" s="2">
        <v>223864.49</v>
      </c>
      <c r="C150" s="2">
        <v>0</v>
      </c>
      <c r="D150" s="7">
        <v>6537.06</v>
      </c>
      <c r="E150" s="2">
        <v>918411.8</v>
      </c>
      <c r="F150" s="2"/>
      <c r="G150" s="2"/>
      <c r="H150" s="2"/>
      <c r="I150" s="2"/>
      <c r="J150" s="2"/>
      <c r="K150" s="2"/>
      <c r="L150" s="2"/>
      <c r="M150" s="2"/>
      <c r="N150" s="2">
        <f t="shared" si="65"/>
        <v>1148813.3500000001</v>
      </c>
      <c r="P150" s="2">
        <f t="shared" si="66"/>
        <v>104437.57727272729</v>
      </c>
      <c r="Q150" s="2">
        <f t="shared" si="67"/>
        <v>-104437.57727272729</v>
      </c>
    </row>
    <row r="151" spans="1:17" x14ac:dyDescent="0.25">
      <c r="A151" s="3" t="s">
        <v>122</v>
      </c>
      <c r="B151" s="2">
        <v>170622.29</v>
      </c>
      <c r="C151" s="2">
        <v>-355074.95</v>
      </c>
      <c r="D151" s="7">
        <v>93202.33</v>
      </c>
      <c r="E151" s="2">
        <v>151429.5</v>
      </c>
      <c r="F151" s="2"/>
      <c r="G151" s="2"/>
      <c r="H151" s="2"/>
      <c r="I151" s="2"/>
      <c r="J151" s="2"/>
      <c r="K151" s="2"/>
      <c r="L151" s="2"/>
      <c r="M151" s="2"/>
      <c r="N151" s="2">
        <f t="shared" si="65"/>
        <v>60179.17</v>
      </c>
      <c r="P151" s="2">
        <f t="shared" si="66"/>
        <v>5470.8336363636363</v>
      </c>
      <c r="Q151" s="2">
        <f t="shared" si="67"/>
        <v>-5470.8336363636363</v>
      </c>
    </row>
    <row r="152" spans="1:17" x14ac:dyDescent="0.25">
      <c r="A152" s="3" t="s">
        <v>123</v>
      </c>
      <c r="B152" s="2">
        <v>-126361.61</v>
      </c>
      <c r="C152" s="2">
        <v>-158081.74</v>
      </c>
      <c r="D152" s="7">
        <v>-293026.18</v>
      </c>
      <c r="E152" s="2">
        <v>10452.620000000001</v>
      </c>
      <c r="F152" s="2"/>
      <c r="G152" s="2"/>
      <c r="H152" s="2"/>
      <c r="I152" s="2"/>
      <c r="J152" s="2"/>
      <c r="K152" s="2"/>
      <c r="L152" s="2"/>
      <c r="M152" s="2"/>
      <c r="N152" s="2">
        <f t="shared" si="65"/>
        <v>-567016.91</v>
      </c>
      <c r="P152" s="2">
        <f t="shared" si="66"/>
        <v>-51546.991818181821</v>
      </c>
      <c r="Q152" s="2">
        <f t="shared" si="67"/>
        <v>51546.991818181821</v>
      </c>
    </row>
    <row r="153" spans="1:17" x14ac:dyDescent="0.25">
      <c r="A153" s="3" t="s">
        <v>124</v>
      </c>
      <c r="B153" s="2">
        <v>18221.580000000002</v>
      </c>
      <c r="C153" s="2">
        <v>-143.22</v>
      </c>
      <c r="D153" s="7">
        <v>554.66999999999996</v>
      </c>
      <c r="E153" s="2">
        <v>-4571.0200000000004</v>
      </c>
      <c r="F153" s="2"/>
      <c r="G153" s="2"/>
      <c r="H153" s="2"/>
      <c r="I153" s="2"/>
      <c r="J153" s="2"/>
      <c r="K153" s="2"/>
      <c r="L153" s="2"/>
      <c r="M153" s="2"/>
      <c r="N153" s="2">
        <f t="shared" si="65"/>
        <v>14062.009999999998</v>
      </c>
      <c r="P153" s="2">
        <f t="shared" si="66"/>
        <v>1278.3645454545454</v>
      </c>
      <c r="Q153" s="2">
        <f t="shared" si="67"/>
        <v>-1278.3645454545454</v>
      </c>
    </row>
    <row r="154" spans="1:17" x14ac:dyDescent="0.25">
      <c r="A154" s="3" t="s">
        <v>125</v>
      </c>
      <c r="B154" s="2">
        <v>5399.7</v>
      </c>
      <c r="C154" s="2">
        <v>-3149.21</v>
      </c>
      <c r="D154" s="7">
        <v>6568.13</v>
      </c>
      <c r="E154" s="2">
        <v>405.19</v>
      </c>
      <c r="F154" s="2"/>
      <c r="G154" s="2"/>
      <c r="H154" s="2"/>
      <c r="I154" s="2"/>
      <c r="J154" s="2"/>
      <c r="K154" s="2"/>
      <c r="L154" s="2"/>
      <c r="M154" s="2"/>
      <c r="N154" s="2">
        <f t="shared" si="65"/>
        <v>9223.81</v>
      </c>
      <c r="P154" s="2">
        <f t="shared" si="66"/>
        <v>838.52818181818179</v>
      </c>
      <c r="Q154" s="2">
        <f t="shared" si="67"/>
        <v>-838.52818181818179</v>
      </c>
    </row>
    <row r="155" spans="1:17" x14ac:dyDescent="0.25">
      <c r="A155" s="3" t="s">
        <v>126</v>
      </c>
      <c r="B155" s="2">
        <v>-57233909.109999999</v>
      </c>
      <c r="C155" s="2">
        <v>-15348255</v>
      </c>
      <c r="D155" s="7">
        <v>-56465326.530000001</v>
      </c>
      <c r="E155" s="2">
        <v>-529777770.38</v>
      </c>
      <c r="F155" s="2"/>
      <c r="G155" s="2"/>
      <c r="H155" s="2"/>
      <c r="I155" s="2"/>
      <c r="J155" s="2"/>
      <c r="K155" s="2"/>
      <c r="L155" s="2"/>
      <c r="M155" s="2"/>
      <c r="N155" s="2">
        <f t="shared" si="65"/>
        <v>-658825261.01999998</v>
      </c>
      <c r="P155" s="2">
        <f t="shared" si="66"/>
        <v>-59893205.547272727</v>
      </c>
      <c r="Q155" s="2">
        <f t="shared" si="67"/>
        <v>59893205.547272727</v>
      </c>
    </row>
    <row r="156" spans="1:17" x14ac:dyDescent="0.25">
      <c r="A156" s="3" t="s">
        <v>127</v>
      </c>
      <c r="B156" s="2">
        <v>-626650</v>
      </c>
      <c r="C156" s="2">
        <v>-1795920</v>
      </c>
      <c r="D156" s="7">
        <v>-616939.36</v>
      </c>
      <c r="E156" s="2">
        <v>-282900</v>
      </c>
      <c r="F156" s="2"/>
      <c r="G156" s="2"/>
      <c r="H156" s="2"/>
      <c r="I156" s="2"/>
      <c r="J156" s="2"/>
      <c r="K156" s="2"/>
      <c r="L156" s="2"/>
      <c r="M156" s="2"/>
      <c r="N156" s="2">
        <f t="shared" ref="N156:N178" si="68">SUM(B156:M156)</f>
        <v>-3322409.36</v>
      </c>
      <c r="P156" s="2">
        <f t="shared" si="66"/>
        <v>-302037.21454545454</v>
      </c>
      <c r="Q156" s="2">
        <f t="shared" si="67"/>
        <v>302037.21454545454</v>
      </c>
    </row>
    <row r="157" spans="1:17" x14ac:dyDescent="0.25">
      <c r="A157" s="3" t="s">
        <v>128</v>
      </c>
      <c r="B157" s="2">
        <v>2230495.09</v>
      </c>
      <c r="C157" s="2">
        <v>157077.15</v>
      </c>
      <c r="D157" s="7">
        <v>273729.07</v>
      </c>
      <c r="E157" s="2">
        <v>307005.37</v>
      </c>
      <c r="F157" s="2"/>
      <c r="G157" s="2"/>
      <c r="H157" s="2"/>
      <c r="I157" s="2"/>
      <c r="J157" s="2"/>
      <c r="K157" s="2"/>
      <c r="L157" s="2"/>
      <c r="M157" s="2"/>
      <c r="N157" s="2">
        <f t="shared" si="68"/>
        <v>2968306.6799999997</v>
      </c>
      <c r="P157" s="2">
        <f t="shared" si="66"/>
        <v>269846.06181818177</v>
      </c>
      <c r="Q157" s="2">
        <f t="shared" si="67"/>
        <v>-269846.06181818177</v>
      </c>
    </row>
    <row r="158" spans="1:17" x14ac:dyDescent="0.25">
      <c r="A158" s="3" t="s">
        <v>129</v>
      </c>
      <c r="B158" s="2">
        <v>132999.03</v>
      </c>
      <c r="C158" s="2">
        <v>1861.72</v>
      </c>
      <c r="D158" s="7">
        <v>104613.37</v>
      </c>
      <c r="E158" s="2">
        <v>1487036.54</v>
      </c>
      <c r="F158" s="2"/>
      <c r="G158" s="2"/>
      <c r="H158" s="2"/>
      <c r="I158" s="2"/>
      <c r="J158" s="2"/>
      <c r="K158" s="2"/>
      <c r="L158" s="2"/>
      <c r="M158" s="2"/>
      <c r="N158" s="2">
        <f t="shared" si="68"/>
        <v>1726510.6600000001</v>
      </c>
      <c r="P158" s="2">
        <f t="shared" si="66"/>
        <v>156955.51454545456</v>
      </c>
      <c r="Q158" s="2">
        <f t="shared" si="67"/>
        <v>-156955.51454545456</v>
      </c>
    </row>
    <row r="159" spans="1:17" x14ac:dyDescent="0.25">
      <c r="A159" s="3" t="s">
        <v>130</v>
      </c>
      <c r="B159" s="2">
        <v>48155.93</v>
      </c>
      <c r="C159" s="2">
        <v>51045.58</v>
      </c>
      <c r="D159" s="7">
        <v>0</v>
      </c>
      <c r="E159" s="2">
        <v>12980.84</v>
      </c>
      <c r="F159" s="2"/>
      <c r="G159" s="2"/>
      <c r="H159" s="2"/>
      <c r="I159" s="2"/>
      <c r="J159" s="2"/>
      <c r="K159" s="2"/>
      <c r="L159" s="2"/>
      <c r="M159" s="2"/>
      <c r="N159" s="2">
        <f t="shared" si="68"/>
        <v>112182.35</v>
      </c>
      <c r="P159" s="2">
        <f t="shared" si="66"/>
        <v>10198.395454545454</v>
      </c>
      <c r="Q159" s="2">
        <f t="shared" si="67"/>
        <v>-10198.395454545454</v>
      </c>
    </row>
    <row r="160" spans="1:17" x14ac:dyDescent="0.25">
      <c r="A160" s="3" t="s">
        <v>131</v>
      </c>
      <c r="B160" s="2">
        <v>888979.59</v>
      </c>
      <c r="C160" s="2">
        <v>5499.6</v>
      </c>
      <c r="D160" s="7">
        <v>-2025.65</v>
      </c>
      <c r="E160" s="2">
        <v>-2516.61</v>
      </c>
      <c r="F160" s="2"/>
      <c r="G160" s="2"/>
      <c r="H160" s="2"/>
      <c r="I160" s="2"/>
      <c r="J160" s="2"/>
      <c r="K160" s="2"/>
      <c r="L160" s="2"/>
      <c r="M160" s="2"/>
      <c r="N160" s="2">
        <f t="shared" si="68"/>
        <v>889936.92999999993</v>
      </c>
      <c r="P160" s="2">
        <f t="shared" si="66"/>
        <v>80903.357272727269</v>
      </c>
      <c r="Q160" s="2">
        <f t="shared" si="67"/>
        <v>-80903.357272727269</v>
      </c>
    </row>
    <row r="161" spans="1:17" x14ac:dyDescent="0.25">
      <c r="A161" s="3" t="s">
        <v>132</v>
      </c>
      <c r="B161" s="2">
        <v>-241780</v>
      </c>
      <c r="C161" s="2">
        <v>0</v>
      </c>
      <c r="D161" s="7">
        <v>-42034.45</v>
      </c>
      <c r="E161" s="2">
        <f>-916350</f>
        <v>-916350</v>
      </c>
      <c r="F161" s="2"/>
      <c r="G161" s="2"/>
      <c r="H161" s="2"/>
      <c r="I161" s="2"/>
      <c r="J161" s="2"/>
      <c r="K161" s="2"/>
      <c r="L161" s="2"/>
      <c r="M161" s="2"/>
      <c r="N161" s="2">
        <f t="shared" si="68"/>
        <v>-1200164.45</v>
      </c>
      <c r="P161" s="2">
        <f t="shared" si="66"/>
        <v>-109105.85909090909</v>
      </c>
      <c r="Q161" s="2">
        <f t="shared" si="67"/>
        <v>109105.85909090909</v>
      </c>
    </row>
    <row r="162" spans="1:17" x14ac:dyDescent="0.25">
      <c r="A162" s="3" t="s">
        <v>133</v>
      </c>
      <c r="B162" s="2">
        <v>0</v>
      </c>
      <c r="C162" s="2">
        <v>800</v>
      </c>
      <c r="D162" s="7">
        <v>0</v>
      </c>
      <c r="E162" s="2">
        <v>0</v>
      </c>
      <c r="F162" s="2"/>
      <c r="G162" s="2"/>
      <c r="H162" s="2"/>
      <c r="I162" s="2"/>
      <c r="J162" s="2"/>
      <c r="K162" s="2"/>
      <c r="L162" s="2"/>
      <c r="M162" s="2"/>
      <c r="N162" s="2">
        <f t="shared" si="68"/>
        <v>800</v>
      </c>
      <c r="P162" s="2">
        <f t="shared" si="66"/>
        <v>72.727272727272734</v>
      </c>
      <c r="Q162" s="2">
        <f t="shared" si="67"/>
        <v>-72.727272727272734</v>
      </c>
    </row>
    <row r="163" spans="1:17" x14ac:dyDescent="0.25">
      <c r="A163" s="3" t="s">
        <v>134</v>
      </c>
      <c r="B163" s="2">
        <v>2682.05</v>
      </c>
      <c r="C163" s="2">
        <v>-1617.38</v>
      </c>
      <c r="D163" s="7">
        <v>5756.07</v>
      </c>
      <c r="E163" s="2">
        <v>9048.32</v>
      </c>
      <c r="F163" s="2"/>
      <c r="G163" s="2"/>
      <c r="H163" s="2"/>
      <c r="I163" s="2"/>
      <c r="J163" s="2"/>
      <c r="K163" s="2"/>
      <c r="L163" s="2"/>
      <c r="M163" s="2"/>
      <c r="N163" s="2">
        <f t="shared" si="68"/>
        <v>15869.06</v>
      </c>
      <c r="P163" s="2">
        <f t="shared" si="66"/>
        <v>1442.6418181818181</v>
      </c>
      <c r="Q163" s="2">
        <f t="shared" si="67"/>
        <v>-1442.6418181818181</v>
      </c>
    </row>
    <row r="164" spans="1:17" x14ac:dyDescent="0.25">
      <c r="A164" s="3" t="s">
        <v>135</v>
      </c>
      <c r="B164" s="2">
        <v>5000</v>
      </c>
      <c r="C164" s="2">
        <v>16772.5</v>
      </c>
      <c r="D164" s="7">
        <v>-6772.5</v>
      </c>
      <c r="E164" s="2">
        <v>5000</v>
      </c>
      <c r="F164" s="2"/>
      <c r="G164" s="2"/>
      <c r="H164" s="2"/>
      <c r="I164" s="2"/>
      <c r="J164" s="2"/>
      <c r="K164" s="2"/>
      <c r="L164" s="2"/>
      <c r="M164" s="2"/>
      <c r="N164" s="2">
        <f t="shared" si="68"/>
        <v>20000</v>
      </c>
      <c r="P164" s="2">
        <f t="shared" si="66"/>
        <v>1818.1818181818182</v>
      </c>
      <c r="Q164" s="2">
        <f t="shared" si="67"/>
        <v>-1818.1818181818182</v>
      </c>
    </row>
    <row r="165" spans="1:17" x14ac:dyDescent="0.25">
      <c r="A165" s="3" t="s">
        <v>136</v>
      </c>
      <c r="B165" s="2">
        <v>0</v>
      </c>
      <c r="C165" s="2">
        <v>0</v>
      </c>
      <c r="D165" s="7">
        <v>0</v>
      </c>
      <c r="E165" s="2">
        <v>0</v>
      </c>
      <c r="F165" s="2"/>
      <c r="G165" s="2"/>
      <c r="H165" s="2"/>
      <c r="I165" s="2"/>
      <c r="J165" s="2"/>
      <c r="K165" s="2"/>
      <c r="L165" s="2"/>
      <c r="M165" s="2"/>
      <c r="N165" s="2">
        <f t="shared" si="68"/>
        <v>0</v>
      </c>
      <c r="P165" s="2">
        <f t="shared" si="66"/>
        <v>0</v>
      </c>
      <c r="Q165" s="2">
        <f t="shared" si="67"/>
        <v>0</v>
      </c>
    </row>
    <row r="166" spans="1:17" x14ac:dyDescent="0.25">
      <c r="A166" s="3" t="s">
        <v>137</v>
      </c>
      <c r="B166" s="2">
        <v>20620</v>
      </c>
      <c r="C166" s="2">
        <v>1150</v>
      </c>
      <c r="D166" s="7">
        <v>0</v>
      </c>
      <c r="E166" s="2">
        <v>0</v>
      </c>
      <c r="F166" s="2"/>
      <c r="G166" s="2"/>
      <c r="H166" s="2"/>
      <c r="I166" s="2"/>
      <c r="J166" s="2"/>
      <c r="K166" s="2"/>
      <c r="L166" s="2"/>
      <c r="M166" s="2"/>
      <c r="N166" s="2">
        <f t="shared" si="68"/>
        <v>21770</v>
      </c>
      <c r="P166" s="2">
        <f t="shared" si="66"/>
        <v>1979.090909090909</v>
      </c>
      <c r="Q166" s="2">
        <f t="shared" si="67"/>
        <v>-1979.090909090909</v>
      </c>
    </row>
    <row r="167" spans="1:17" x14ac:dyDescent="0.25">
      <c r="A167" s="50" t="s">
        <v>138</v>
      </c>
      <c r="B167" s="51">
        <v>2910296.13</v>
      </c>
      <c r="C167" s="51">
        <v>1651163.39</v>
      </c>
      <c r="D167" s="52">
        <v>-414097.59</v>
      </c>
      <c r="E167" s="51">
        <v>959937.83</v>
      </c>
      <c r="F167" s="53"/>
      <c r="G167" s="51"/>
      <c r="H167" s="51"/>
      <c r="I167" s="51"/>
      <c r="J167" s="51"/>
      <c r="K167" s="51"/>
      <c r="L167" s="51"/>
      <c r="M167" s="51"/>
      <c r="N167" s="54">
        <f t="shared" si="68"/>
        <v>5107299.76</v>
      </c>
      <c r="P167" s="54">
        <f t="shared" si="66"/>
        <v>464299.97818181815</v>
      </c>
      <c r="Q167" s="54">
        <f t="shared" si="67"/>
        <v>-464299.97818181815</v>
      </c>
    </row>
    <row r="168" spans="1:17" x14ac:dyDescent="0.25">
      <c r="A168" s="3" t="s">
        <v>139</v>
      </c>
      <c r="B168" s="2">
        <v>28233.33</v>
      </c>
      <c r="C168" s="2">
        <v>28233.33</v>
      </c>
      <c r="D168" s="7">
        <v>28595.83</v>
      </c>
      <c r="E168" s="2">
        <v>28233.33</v>
      </c>
      <c r="F168" s="2"/>
      <c r="G168" s="2"/>
      <c r="H168" s="2"/>
      <c r="I168" s="2"/>
      <c r="J168" s="2"/>
      <c r="K168" s="2"/>
      <c r="L168" s="2"/>
      <c r="M168" s="2"/>
      <c r="N168" s="2">
        <f t="shared" si="68"/>
        <v>113295.82</v>
      </c>
      <c r="P168" s="2">
        <f t="shared" si="66"/>
        <v>10299.620000000001</v>
      </c>
      <c r="Q168" s="2">
        <f t="shared" si="67"/>
        <v>-10299.620000000001</v>
      </c>
    </row>
    <row r="169" spans="1:17" x14ac:dyDescent="0.25">
      <c r="A169" s="3" t="s">
        <v>140</v>
      </c>
      <c r="B169" s="2">
        <v>0</v>
      </c>
      <c r="C169" s="2">
        <v>878</v>
      </c>
      <c r="D169" s="7">
        <v>0</v>
      </c>
      <c r="E169" s="2">
        <v>0</v>
      </c>
      <c r="F169" s="2"/>
      <c r="G169" s="2"/>
      <c r="H169" s="2"/>
      <c r="I169" s="2"/>
      <c r="J169" s="2"/>
      <c r="K169" s="2"/>
      <c r="L169" s="2"/>
      <c r="M169" s="2"/>
      <c r="N169" s="2">
        <f t="shared" si="68"/>
        <v>878</v>
      </c>
      <c r="P169" s="2">
        <f t="shared" si="66"/>
        <v>79.818181818181813</v>
      </c>
      <c r="Q169" s="2">
        <f t="shared" si="67"/>
        <v>-79.818181818181813</v>
      </c>
    </row>
    <row r="170" spans="1:17" x14ac:dyDescent="0.25">
      <c r="A170" s="3" t="s">
        <v>141</v>
      </c>
      <c r="B170" s="2">
        <v>935.34</v>
      </c>
      <c r="C170" s="2">
        <v>6097.82</v>
      </c>
      <c r="D170" s="7">
        <v>0</v>
      </c>
      <c r="E170" s="2">
        <v>924</v>
      </c>
      <c r="F170" s="2"/>
      <c r="G170" s="2"/>
      <c r="H170" s="2"/>
      <c r="I170" s="2"/>
      <c r="J170" s="2"/>
      <c r="K170" s="2"/>
      <c r="L170" s="2"/>
      <c r="M170" s="2"/>
      <c r="N170" s="2">
        <f t="shared" si="68"/>
        <v>7957.16</v>
      </c>
      <c r="P170" s="2">
        <f t="shared" si="66"/>
        <v>723.37818181818182</v>
      </c>
      <c r="Q170" s="2">
        <f t="shared" si="67"/>
        <v>-723.37818181818182</v>
      </c>
    </row>
    <row r="171" spans="1:17" x14ac:dyDescent="0.25">
      <c r="A171" s="3" t="s">
        <v>142</v>
      </c>
      <c r="B171" s="2">
        <v>13984.01</v>
      </c>
      <c r="C171" s="2">
        <v>16090.71</v>
      </c>
      <c r="D171" s="7">
        <v>17832.23</v>
      </c>
      <c r="E171" s="2">
        <v>16363.64</v>
      </c>
      <c r="F171" s="2"/>
      <c r="G171" s="2"/>
      <c r="H171" s="2"/>
      <c r="I171" s="2"/>
      <c r="J171" s="2"/>
      <c r="K171" s="2"/>
      <c r="L171" s="2"/>
      <c r="M171" s="2"/>
      <c r="N171" s="2">
        <f t="shared" si="68"/>
        <v>64270.59</v>
      </c>
      <c r="P171" s="2">
        <f t="shared" si="66"/>
        <v>5842.7809090909086</v>
      </c>
      <c r="Q171" s="2">
        <f t="shared" si="67"/>
        <v>-5842.7809090909086</v>
      </c>
    </row>
    <row r="172" spans="1:17" x14ac:dyDescent="0.25">
      <c r="A172" s="9" t="s">
        <v>143</v>
      </c>
      <c r="B172" s="2">
        <v>0</v>
      </c>
      <c r="C172" s="2">
        <v>2779.92</v>
      </c>
      <c r="D172" s="7">
        <v>3901.48</v>
      </c>
      <c r="E172" s="2">
        <v>3738.32</v>
      </c>
      <c r="F172" s="2"/>
      <c r="G172" s="2"/>
      <c r="H172" s="2"/>
      <c r="I172" s="2"/>
      <c r="J172" s="2"/>
      <c r="K172" s="2"/>
      <c r="L172" s="2"/>
      <c r="M172" s="2"/>
      <c r="N172" s="2">
        <f t="shared" si="68"/>
        <v>10419.719999999999</v>
      </c>
      <c r="P172" s="2">
        <f t="shared" si="66"/>
        <v>947.24727272727262</v>
      </c>
      <c r="Q172" s="2">
        <f t="shared" si="67"/>
        <v>-947.24727272727262</v>
      </c>
    </row>
    <row r="173" spans="1:17" x14ac:dyDescent="0.25">
      <c r="A173" s="3" t="s">
        <v>144</v>
      </c>
      <c r="B173" s="2">
        <v>0</v>
      </c>
      <c r="C173" s="2"/>
      <c r="D173" s="7">
        <v>0</v>
      </c>
      <c r="E173" s="2">
        <v>0</v>
      </c>
      <c r="F173" s="2"/>
      <c r="G173" s="2"/>
      <c r="H173" s="2"/>
      <c r="I173" s="2"/>
      <c r="J173" s="2"/>
      <c r="K173" s="2"/>
      <c r="L173" s="2"/>
      <c r="M173" s="2"/>
      <c r="N173" s="2">
        <f t="shared" si="68"/>
        <v>0</v>
      </c>
      <c r="P173" s="2">
        <f t="shared" si="66"/>
        <v>0</v>
      </c>
      <c r="Q173" s="2">
        <f t="shared" si="67"/>
        <v>0</v>
      </c>
    </row>
    <row r="174" spans="1:17" x14ac:dyDescent="0.25">
      <c r="A174" s="3" t="s">
        <v>145</v>
      </c>
      <c r="B174" s="2">
        <v>1.87</v>
      </c>
      <c r="C174" s="2">
        <v>0</v>
      </c>
      <c r="D174" s="2">
        <v>-115.12</v>
      </c>
      <c r="E174" s="2">
        <v>3216.06</v>
      </c>
      <c r="F174" s="2"/>
      <c r="G174" s="2"/>
      <c r="H174" s="2"/>
      <c r="I174" s="2"/>
      <c r="J174" s="2"/>
      <c r="K174" s="2"/>
      <c r="L174" s="2"/>
      <c r="M174" s="2"/>
      <c r="N174" s="2">
        <f t="shared" si="68"/>
        <v>3102.81</v>
      </c>
      <c r="P174" s="2">
        <f t="shared" si="66"/>
        <v>282.07363636363635</v>
      </c>
      <c r="Q174" s="2">
        <f t="shared" si="67"/>
        <v>-282.07363636363635</v>
      </c>
    </row>
    <row r="175" spans="1:17" x14ac:dyDescent="0.25">
      <c r="A175" s="3" t="s">
        <v>146</v>
      </c>
      <c r="B175" s="2">
        <v>655.42</v>
      </c>
      <c r="C175" s="2">
        <v>-345.3</v>
      </c>
      <c r="D175" s="2">
        <v>-1325.46</v>
      </c>
      <c r="E175" s="2">
        <v>-3163.28</v>
      </c>
      <c r="F175" s="2"/>
      <c r="G175" s="2"/>
      <c r="H175" s="2"/>
      <c r="I175" s="2"/>
      <c r="J175" s="2"/>
      <c r="K175" s="2"/>
      <c r="L175" s="2"/>
      <c r="M175" s="2"/>
      <c r="N175" s="2">
        <f t="shared" si="68"/>
        <v>-4178.6200000000008</v>
      </c>
      <c r="P175" s="2">
        <f t="shared" si="66"/>
        <v>-379.87454545454551</v>
      </c>
      <c r="Q175" s="2">
        <f t="shared" si="67"/>
        <v>379.87454545454551</v>
      </c>
    </row>
    <row r="176" spans="1:17" ht="15.6" customHeight="1" x14ac:dyDescent="0.25">
      <c r="A176" s="3" t="s">
        <v>147</v>
      </c>
      <c r="B176" s="2">
        <v>-260</v>
      </c>
      <c r="C176" s="2">
        <v>0</v>
      </c>
      <c r="D176" s="2">
        <v>-15</v>
      </c>
      <c r="E176" s="2">
        <f>-15</f>
        <v>-15</v>
      </c>
      <c r="F176" s="2"/>
      <c r="G176" s="2"/>
      <c r="H176" s="2"/>
      <c r="I176" s="2"/>
      <c r="J176" s="2"/>
      <c r="K176" s="2"/>
      <c r="L176" s="2"/>
      <c r="M176" s="2"/>
      <c r="N176" s="2">
        <f t="shared" si="68"/>
        <v>-290</v>
      </c>
      <c r="P176" s="2">
        <f t="shared" si="66"/>
        <v>-26.363636363636363</v>
      </c>
      <c r="Q176" s="2">
        <f t="shared" si="67"/>
        <v>26.363636363636363</v>
      </c>
    </row>
    <row r="177" spans="1:17" ht="15.6" customHeight="1" x14ac:dyDescent="0.25">
      <c r="A177" s="9" t="s">
        <v>148</v>
      </c>
      <c r="C177" s="2"/>
      <c r="D177" s="2"/>
      <c r="E177" s="2">
        <v>168314.67</v>
      </c>
      <c r="F177" s="2"/>
      <c r="G177" s="2"/>
      <c r="H177" s="2"/>
      <c r="I177" s="2"/>
      <c r="J177" s="2"/>
      <c r="K177" s="2"/>
      <c r="L177" s="2"/>
      <c r="M177" s="2"/>
      <c r="N177" s="2">
        <f t="shared" si="68"/>
        <v>168314.67</v>
      </c>
      <c r="P177" s="2"/>
      <c r="Q177" s="2"/>
    </row>
    <row r="178" spans="1:17" ht="15.6" customHeight="1" x14ac:dyDescent="0.25">
      <c r="A178" s="9" t="s">
        <v>149</v>
      </c>
      <c r="C178" s="2"/>
      <c r="D178" s="2"/>
      <c r="E178" s="2">
        <v>12675.04</v>
      </c>
      <c r="F178" s="2"/>
      <c r="G178" s="2"/>
      <c r="H178" s="2"/>
      <c r="I178" s="2"/>
      <c r="J178" s="2"/>
      <c r="K178" s="2"/>
      <c r="L178" s="2"/>
      <c r="M178" s="2"/>
      <c r="N178" s="2">
        <f t="shared" si="68"/>
        <v>12675.04</v>
      </c>
      <c r="P178" s="2"/>
      <c r="Q178" s="2"/>
    </row>
    <row r="179" spans="1:17" s="48" customFormat="1" x14ac:dyDescent="0.25">
      <c r="A179" s="48" t="s">
        <v>150</v>
      </c>
      <c r="B179" s="55">
        <f>SUM(B124:B178)</f>
        <v>584692821.1099999</v>
      </c>
      <c r="C179" s="55">
        <f>SUM(C124:C178)</f>
        <v>1326064718.7600005</v>
      </c>
      <c r="D179" s="55">
        <f>SUM(D124:D178)</f>
        <v>407886159.28000009</v>
      </c>
      <c r="E179" s="55">
        <f>SUM(E124:E178)</f>
        <v>144492603.92999986</v>
      </c>
      <c r="F179" s="55">
        <f t="shared" ref="F179:M179" si="69">SUM(F124:F176)</f>
        <v>0</v>
      </c>
      <c r="G179" s="55">
        <f t="shared" si="69"/>
        <v>0</v>
      </c>
      <c r="H179" s="55">
        <f t="shared" si="69"/>
        <v>0</v>
      </c>
      <c r="I179" s="55">
        <f t="shared" si="69"/>
        <v>0</v>
      </c>
      <c r="J179" s="55">
        <f t="shared" si="69"/>
        <v>0</v>
      </c>
      <c r="K179" s="55">
        <f t="shared" si="69"/>
        <v>0</v>
      </c>
      <c r="L179" s="55">
        <f t="shared" si="69"/>
        <v>0</v>
      </c>
      <c r="M179" s="55">
        <f t="shared" si="69"/>
        <v>0</v>
      </c>
      <c r="N179" s="55">
        <f>SUM(N124:N178)</f>
        <v>2463136303.0799999</v>
      </c>
      <c r="P179" s="55">
        <f t="shared" si="66"/>
        <v>223921482.09818181</v>
      </c>
      <c r="Q179" s="55">
        <f t="shared" si="67"/>
        <v>-223921482.09818181</v>
      </c>
    </row>
    <row r="180" spans="1:17" s="48" customFormat="1" ht="15.75" thickBot="1" x14ac:dyDescent="0.3">
      <c r="A180" s="48" t="s">
        <v>151</v>
      </c>
      <c r="B180" s="49">
        <f t="shared" ref="B180:M180" si="70">B122-B179</f>
        <v>697510.16000008583</v>
      </c>
      <c r="C180" s="49">
        <f t="shared" si="70"/>
        <v>624547.37999987602</v>
      </c>
      <c r="D180" s="49">
        <f t="shared" si="70"/>
        <v>769919.81999999285</v>
      </c>
      <c r="E180" s="49">
        <f t="shared" si="70"/>
        <v>477580.01000010967</v>
      </c>
      <c r="F180" s="49">
        <f t="shared" si="70"/>
        <v>0</v>
      </c>
      <c r="G180" s="49">
        <f t="shared" si="70"/>
        <v>0</v>
      </c>
      <c r="H180" s="49">
        <f t="shared" si="70"/>
        <v>0</v>
      </c>
      <c r="I180" s="49">
        <f t="shared" si="70"/>
        <v>0</v>
      </c>
      <c r="J180" s="49">
        <f t="shared" si="70"/>
        <v>0</v>
      </c>
      <c r="K180" s="49">
        <f t="shared" si="70"/>
        <v>0</v>
      </c>
      <c r="L180" s="49">
        <f t="shared" si="70"/>
        <v>0</v>
      </c>
      <c r="M180" s="49">
        <f t="shared" si="70"/>
        <v>0</v>
      </c>
      <c r="N180" s="49">
        <f>SUM(B180:M180)</f>
        <v>2569557.3700000644</v>
      </c>
      <c r="P180" s="49">
        <f t="shared" si="66"/>
        <v>233596.12454546039</v>
      </c>
      <c r="Q180" s="49">
        <f t="shared" si="67"/>
        <v>-233596.12454546039</v>
      </c>
    </row>
    <row r="181" spans="1:17" ht="15.75" thickTop="1" x14ac:dyDescent="0.25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P181" s="2">
        <f t="shared" si="66"/>
        <v>0</v>
      </c>
      <c r="Q181" s="2">
        <f t="shared" si="67"/>
        <v>0</v>
      </c>
    </row>
    <row r="182" spans="1:17" x14ac:dyDescent="0.25">
      <c r="A182" s="3" t="s">
        <v>152</v>
      </c>
      <c r="B182" s="2">
        <v>321540.08</v>
      </c>
      <c r="C182" s="2">
        <v>265057.82</v>
      </c>
      <c r="D182" s="2">
        <v>284816.11</v>
      </c>
      <c r="E182" s="2">
        <v>286945.63</v>
      </c>
      <c r="F182" s="2"/>
      <c r="G182" s="2"/>
      <c r="H182" s="2"/>
      <c r="I182" s="2"/>
      <c r="J182" s="2"/>
      <c r="K182" s="2"/>
      <c r="L182" s="2"/>
      <c r="M182" s="2"/>
      <c r="N182" s="2">
        <f t="shared" ref="N182:N192" si="71">SUM(B182:M182)</f>
        <v>1158359.6400000001</v>
      </c>
      <c r="P182" s="2">
        <f t="shared" si="66"/>
        <v>105305.42181818183</v>
      </c>
      <c r="Q182" s="2">
        <f t="shared" si="67"/>
        <v>-105305.42181818183</v>
      </c>
    </row>
    <row r="183" spans="1:17" x14ac:dyDescent="0.25">
      <c r="A183" s="3" t="s">
        <v>153</v>
      </c>
      <c r="B183" s="2">
        <v>0</v>
      </c>
      <c r="C183" s="2">
        <v>0</v>
      </c>
      <c r="D183" s="2">
        <v>0</v>
      </c>
      <c r="E183" s="2">
        <v>0</v>
      </c>
      <c r="F183" s="2"/>
      <c r="G183" s="2"/>
      <c r="H183" s="2"/>
      <c r="I183" s="2"/>
      <c r="J183" s="2"/>
      <c r="K183" s="2"/>
      <c r="L183" s="2"/>
      <c r="M183" s="2"/>
      <c r="N183" s="2">
        <f t="shared" si="71"/>
        <v>0</v>
      </c>
      <c r="P183" s="2">
        <f t="shared" si="66"/>
        <v>0</v>
      </c>
      <c r="Q183" s="2">
        <f t="shared" si="67"/>
        <v>0</v>
      </c>
    </row>
    <row r="184" spans="1:17" x14ac:dyDescent="0.25">
      <c r="A184" s="3" t="s">
        <v>154</v>
      </c>
      <c r="B184" s="2">
        <v>0</v>
      </c>
      <c r="C184" s="2">
        <v>4088</v>
      </c>
      <c r="D184" s="7">
        <v>4088</v>
      </c>
      <c r="E184" s="2">
        <v>4088</v>
      </c>
      <c r="F184" s="2"/>
      <c r="G184" s="2"/>
      <c r="H184" s="2"/>
      <c r="I184" s="2"/>
      <c r="J184" s="2"/>
      <c r="K184" s="2"/>
      <c r="L184" s="2"/>
      <c r="M184" s="2"/>
      <c r="N184" s="2">
        <f t="shared" si="71"/>
        <v>12264</v>
      </c>
      <c r="P184" s="2">
        <f t="shared" si="66"/>
        <v>1114.909090909091</v>
      </c>
      <c r="Q184" s="2">
        <f t="shared" si="67"/>
        <v>-1114.909090909091</v>
      </c>
    </row>
    <row r="185" spans="1:17" x14ac:dyDescent="0.25">
      <c r="A185" s="3" t="s">
        <v>155</v>
      </c>
      <c r="B185" s="2">
        <v>34485.919999999998</v>
      </c>
      <c r="C185" s="2">
        <v>25848.55</v>
      </c>
      <c r="D185" s="7">
        <v>25451.64</v>
      </c>
      <c r="E185" s="2">
        <v>26482.85</v>
      </c>
      <c r="F185" s="2"/>
      <c r="G185" s="2"/>
      <c r="H185" s="2"/>
      <c r="I185" s="2"/>
      <c r="J185" s="2"/>
      <c r="K185" s="2"/>
      <c r="L185" s="2"/>
      <c r="M185" s="2"/>
      <c r="N185" s="2">
        <f t="shared" si="71"/>
        <v>112268.95999999999</v>
      </c>
      <c r="P185" s="2">
        <f t="shared" si="66"/>
        <v>10206.269090909091</v>
      </c>
      <c r="Q185" s="2">
        <f t="shared" si="67"/>
        <v>-10206.269090909091</v>
      </c>
    </row>
    <row r="186" spans="1:17" x14ac:dyDescent="0.25">
      <c r="A186" s="3" t="s">
        <v>156</v>
      </c>
      <c r="B186" s="2">
        <v>34701.300000000003</v>
      </c>
      <c r="C186" s="2">
        <v>29078.31</v>
      </c>
      <c r="D186" s="7">
        <v>14776.7</v>
      </c>
      <c r="E186" s="2">
        <v>22093.19</v>
      </c>
      <c r="F186" s="2"/>
      <c r="G186" s="2"/>
      <c r="H186" s="2"/>
      <c r="I186" s="2"/>
      <c r="J186" s="2"/>
      <c r="K186" s="2"/>
      <c r="L186" s="2"/>
      <c r="M186" s="2"/>
      <c r="N186" s="2">
        <f t="shared" si="71"/>
        <v>100649.5</v>
      </c>
      <c r="P186" s="2">
        <f t="shared" si="66"/>
        <v>9149.954545454546</v>
      </c>
      <c r="Q186" s="2">
        <f t="shared" si="67"/>
        <v>-9149.954545454546</v>
      </c>
    </row>
    <row r="187" spans="1:17" x14ac:dyDescent="0.25">
      <c r="A187" s="3" t="s">
        <v>157</v>
      </c>
      <c r="B187" s="2">
        <v>3985.86</v>
      </c>
      <c r="C187" s="2">
        <v>4106.21</v>
      </c>
      <c r="D187" s="7">
        <v>4155.76</v>
      </c>
      <c r="E187" s="2">
        <v>3572.78</v>
      </c>
      <c r="F187" s="2"/>
      <c r="G187" s="2"/>
      <c r="H187" s="2"/>
      <c r="I187" s="2"/>
      <c r="J187" s="2"/>
      <c r="K187" s="2"/>
      <c r="L187" s="2"/>
      <c r="M187" s="2"/>
      <c r="N187" s="2">
        <f t="shared" si="71"/>
        <v>15820.61</v>
      </c>
      <c r="P187" s="2">
        <f t="shared" si="66"/>
        <v>1438.2372727272727</v>
      </c>
      <c r="Q187" s="2">
        <f t="shared" si="67"/>
        <v>-1438.2372727272727</v>
      </c>
    </row>
    <row r="188" spans="1:17" x14ac:dyDescent="0.25">
      <c r="A188" s="3" t="s">
        <v>158</v>
      </c>
      <c r="B188" s="2">
        <v>9167</v>
      </c>
      <c r="C188" s="2">
        <v>9167</v>
      </c>
      <c r="D188" s="7">
        <v>9167</v>
      </c>
      <c r="E188" s="2">
        <v>9167</v>
      </c>
      <c r="F188" s="2"/>
      <c r="G188" s="2"/>
      <c r="H188" s="2"/>
      <c r="I188" s="2"/>
      <c r="J188" s="2"/>
      <c r="K188" s="2"/>
      <c r="L188" s="2"/>
      <c r="M188" s="2"/>
      <c r="N188" s="2">
        <f t="shared" si="71"/>
        <v>36668</v>
      </c>
      <c r="P188" s="2">
        <f t="shared" si="66"/>
        <v>3333.4545454545455</v>
      </c>
      <c r="Q188" s="2">
        <f t="shared" si="67"/>
        <v>-3333.4545454545455</v>
      </c>
    </row>
    <row r="189" spans="1:17" x14ac:dyDescent="0.25">
      <c r="A189" s="3" t="s">
        <v>159</v>
      </c>
      <c r="B189" s="2">
        <v>116.2</v>
      </c>
      <c r="C189" s="2">
        <v>164.9</v>
      </c>
      <c r="D189" s="7">
        <v>55.05</v>
      </c>
      <c r="E189" s="2">
        <v>59.95</v>
      </c>
      <c r="F189" s="2"/>
      <c r="G189" s="2"/>
      <c r="H189" s="2"/>
      <c r="I189" s="2"/>
      <c r="J189" s="2"/>
      <c r="K189" s="2"/>
      <c r="L189" s="2"/>
      <c r="M189" s="2"/>
      <c r="N189" s="2">
        <f t="shared" si="71"/>
        <v>396.1</v>
      </c>
      <c r="P189" s="2">
        <f t="shared" si="66"/>
        <v>36.009090909090908</v>
      </c>
      <c r="Q189" s="2">
        <f t="shared" si="67"/>
        <v>-36.009090909090908</v>
      </c>
    </row>
    <row r="190" spans="1:17" x14ac:dyDescent="0.25">
      <c r="A190" s="3" t="s">
        <v>160</v>
      </c>
      <c r="B190" s="2">
        <v>1196.75</v>
      </c>
      <c r="C190" s="2">
        <v>1627.2</v>
      </c>
      <c r="D190" s="7">
        <v>1115.29</v>
      </c>
      <c r="E190" s="2">
        <v>1152.68</v>
      </c>
      <c r="F190" s="2"/>
      <c r="G190" s="2"/>
      <c r="H190" s="2"/>
      <c r="I190" s="2"/>
      <c r="J190" s="2"/>
      <c r="K190" s="2"/>
      <c r="L190" s="2"/>
      <c r="M190" s="2"/>
      <c r="N190" s="2">
        <f t="shared" si="71"/>
        <v>5091.92</v>
      </c>
      <c r="P190" s="2">
        <f t="shared" si="66"/>
        <v>462.90181818181821</v>
      </c>
      <c r="Q190" s="2">
        <f t="shared" si="67"/>
        <v>-462.90181818181821</v>
      </c>
    </row>
    <row r="191" spans="1:17" x14ac:dyDescent="0.25">
      <c r="A191" s="9" t="s">
        <v>161</v>
      </c>
      <c r="B191" s="2">
        <v>0</v>
      </c>
      <c r="C191" s="2">
        <v>2800</v>
      </c>
      <c r="D191" s="7">
        <v>0</v>
      </c>
      <c r="E191" s="2">
        <v>0</v>
      </c>
      <c r="F191" s="2"/>
      <c r="G191" s="2"/>
      <c r="H191" s="2"/>
      <c r="I191" s="2"/>
      <c r="J191" s="2"/>
      <c r="K191" s="2"/>
      <c r="L191" s="2"/>
      <c r="M191" s="2"/>
      <c r="N191" s="2">
        <f t="shared" si="71"/>
        <v>2800</v>
      </c>
      <c r="P191" s="2">
        <f t="shared" si="66"/>
        <v>254.54545454545453</v>
      </c>
      <c r="Q191" s="2">
        <f t="shared" si="67"/>
        <v>-254.54545454545453</v>
      </c>
    </row>
    <row r="192" spans="1:17" x14ac:dyDescent="0.25">
      <c r="A192" s="9" t="s">
        <v>162</v>
      </c>
      <c r="B192" s="2">
        <v>0</v>
      </c>
      <c r="C192" s="2">
        <v>0</v>
      </c>
      <c r="D192" s="7">
        <v>0</v>
      </c>
      <c r="E192" s="2">
        <v>309.48</v>
      </c>
      <c r="F192" s="2"/>
      <c r="G192" s="2"/>
      <c r="H192" s="2"/>
      <c r="I192" s="2"/>
      <c r="J192" s="2"/>
      <c r="K192" s="2"/>
      <c r="L192" s="2"/>
      <c r="M192" s="2"/>
      <c r="N192" s="2">
        <f t="shared" si="71"/>
        <v>309.48</v>
      </c>
      <c r="P192" s="2">
        <f t="shared" si="66"/>
        <v>28.134545454545457</v>
      </c>
      <c r="Q192" s="2">
        <f t="shared" si="67"/>
        <v>-28.134545454545457</v>
      </c>
    </row>
    <row r="193" spans="1:17" ht="15.75" thickBot="1" x14ac:dyDescent="0.3">
      <c r="A193" s="48" t="s">
        <v>163</v>
      </c>
      <c r="B193" s="49">
        <f>SUM(B182:B192)</f>
        <v>405193.11</v>
      </c>
      <c r="C193" s="49">
        <f>SUM(C182:C192)</f>
        <v>341937.99000000005</v>
      </c>
      <c r="D193" s="49">
        <f>SUM(D182:D192)</f>
        <v>343625.55</v>
      </c>
      <c r="E193" s="49">
        <f>SUM(E182:E192)</f>
        <v>353871.56</v>
      </c>
      <c r="F193" s="49">
        <f t="shared" ref="F193:M193" si="72">SUM(F182:F190)</f>
        <v>0</v>
      </c>
      <c r="G193" s="49">
        <f t="shared" si="72"/>
        <v>0</v>
      </c>
      <c r="H193" s="49">
        <f t="shared" si="72"/>
        <v>0</v>
      </c>
      <c r="I193" s="49">
        <f t="shared" si="72"/>
        <v>0</v>
      </c>
      <c r="J193" s="49">
        <f t="shared" si="72"/>
        <v>0</v>
      </c>
      <c r="K193" s="49">
        <f t="shared" si="72"/>
        <v>0</v>
      </c>
      <c r="L193" s="49">
        <f t="shared" si="72"/>
        <v>0</v>
      </c>
      <c r="M193" s="49">
        <f t="shared" si="72"/>
        <v>0</v>
      </c>
      <c r="N193" s="49">
        <f>SUM(N182:N192)</f>
        <v>1444628.2100000002</v>
      </c>
      <c r="P193" s="49">
        <f t="shared" si="66"/>
        <v>131329.83727272728</v>
      </c>
      <c r="Q193" s="49">
        <f t="shared" si="67"/>
        <v>-131329.83727272728</v>
      </c>
    </row>
    <row r="194" spans="1:17" ht="15.75" thickTop="1" x14ac:dyDescent="0.25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P194" s="2">
        <f t="shared" si="66"/>
        <v>0</v>
      </c>
      <c r="Q194" s="2">
        <f t="shared" si="67"/>
        <v>0</v>
      </c>
    </row>
    <row r="195" spans="1:17" x14ac:dyDescent="0.25">
      <c r="A195" s="9" t="s">
        <v>164</v>
      </c>
      <c r="B195" s="2">
        <v>0</v>
      </c>
      <c r="C195" s="2">
        <v>0</v>
      </c>
      <c r="D195" s="2">
        <v>0</v>
      </c>
      <c r="E195" s="2">
        <v>0</v>
      </c>
      <c r="F195" s="2"/>
      <c r="G195" s="2"/>
      <c r="H195" s="2"/>
      <c r="I195" s="2"/>
      <c r="J195" s="2"/>
      <c r="K195" s="2"/>
      <c r="L195" s="2"/>
      <c r="M195" s="2"/>
      <c r="N195" s="2">
        <f t="shared" ref="N195:N210" si="73">SUM(B195:M195)</f>
        <v>0</v>
      </c>
      <c r="P195" s="2"/>
      <c r="Q195" s="2"/>
    </row>
    <row r="196" spans="1:17" x14ac:dyDescent="0.25">
      <c r="A196" s="3" t="s">
        <v>165</v>
      </c>
      <c r="B196" s="2">
        <v>34200</v>
      </c>
      <c r="C196" s="2">
        <v>34200</v>
      </c>
      <c r="D196" s="7">
        <v>34200</v>
      </c>
      <c r="E196" s="7">
        <v>34200</v>
      </c>
      <c r="F196" s="2"/>
      <c r="G196" s="2"/>
      <c r="H196" s="2"/>
      <c r="I196" s="2"/>
      <c r="J196" s="2"/>
      <c r="K196" s="2"/>
      <c r="L196" s="2"/>
      <c r="M196" s="2"/>
      <c r="N196" s="2">
        <f t="shared" si="73"/>
        <v>136800</v>
      </c>
      <c r="P196" s="2">
        <f t="shared" ref="P196:P238" si="74">(N196-M196)/11</f>
        <v>12436.363636363636</v>
      </c>
      <c r="Q196" s="2">
        <f t="shared" ref="Q196:Q238" si="75">M196-P196</f>
        <v>-12436.363636363636</v>
      </c>
    </row>
    <row r="197" spans="1:17" x14ac:dyDescent="0.25">
      <c r="A197" s="3" t="s">
        <v>166</v>
      </c>
      <c r="B197" s="2">
        <v>8503.81</v>
      </c>
      <c r="C197" s="2">
        <v>5315.92</v>
      </c>
      <c r="D197" s="7">
        <v>5721.77</v>
      </c>
      <c r="E197" s="7">
        <v>1979.68</v>
      </c>
      <c r="F197" s="2"/>
      <c r="G197" s="2"/>
      <c r="H197" s="2"/>
      <c r="I197" s="2"/>
      <c r="J197" s="2"/>
      <c r="K197" s="2"/>
      <c r="L197" s="2"/>
      <c r="M197" s="2"/>
      <c r="N197" s="2">
        <f t="shared" si="73"/>
        <v>21521.18</v>
      </c>
      <c r="P197" s="2">
        <f t="shared" si="74"/>
        <v>1956.4709090909091</v>
      </c>
      <c r="Q197" s="2">
        <f t="shared" si="75"/>
        <v>-1956.4709090909091</v>
      </c>
    </row>
    <row r="198" spans="1:17" x14ac:dyDescent="0.25">
      <c r="A198" s="3" t="s">
        <v>167</v>
      </c>
      <c r="B198" s="2">
        <v>812.13</v>
      </c>
      <c r="C198" s="2">
        <v>2889.41</v>
      </c>
      <c r="D198" s="7">
        <v>2880.16</v>
      </c>
      <c r="E198" s="7">
        <v>1338.1</v>
      </c>
      <c r="F198" s="2"/>
      <c r="G198" s="2"/>
      <c r="H198" s="2"/>
      <c r="I198" s="2"/>
      <c r="J198" s="2"/>
      <c r="K198" s="2"/>
      <c r="L198" s="2"/>
      <c r="M198" s="2"/>
      <c r="N198" s="2">
        <f t="shared" si="73"/>
        <v>7919.7999999999993</v>
      </c>
      <c r="P198" s="2">
        <f t="shared" si="74"/>
        <v>719.98181818181808</v>
      </c>
      <c r="Q198" s="2">
        <f t="shared" si="75"/>
        <v>-719.98181818181808</v>
      </c>
    </row>
    <row r="199" spans="1:17" x14ac:dyDescent="0.25">
      <c r="A199" s="3" t="s">
        <v>168</v>
      </c>
      <c r="B199" s="2">
        <v>0</v>
      </c>
      <c r="C199" s="2">
        <v>0</v>
      </c>
      <c r="D199" s="7">
        <v>0</v>
      </c>
      <c r="E199" s="7">
        <v>0</v>
      </c>
      <c r="F199" s="2"/>
      <c r="G199" s="2"/>
      <c r="H199" s="2"/>
      <c r="I199" s="2"/>
      <c r="J199" s="2"/>
      <c r="K199" s="2"/>
      <c r="L199" s="2"/>
      <c r="M199" s="2"/>
      <c r="N199" s="2">
        <f t="shared" si="73"/>
        <v>0</v>
      </c>
      <c r="P199" s="2">
        <f t="shared" si="74"/>
        <v>0</v>
      </c>
      <c r="Q199" s="2">
        <f t="shared" si="75"/>
        <v>0</v>
      </c>
    </row>
    <row r="200" spans="1:17" x14ac:dyDescent="0.25">
      <c r="A200" s="3" t="s">
        <v>169</v>
      </c>
      <c r="B200" s="2">
        <v>6595</v>
      </c>
      <c r="C200" s="2">
        <v>2825</v>
      </c>
      <c r="D200" s="7">
        <v>4805</v>
      </c>
      <c r="E200" s="7">
        <v>0</v>
      </c>
      <c r="F200" s="2"/>
      <c r="G200" s="2"/>
      <c r="H200" s="2"/>
      <c r="I200" s="2"/>
      <c r="J200" s="2"/>
      <c r="K200" s="2"/>
      <c r="L200" s="2"/>
      <c r="M200" s="2"/>
      <c r="N200" s="2">
        <f t="shared" si="73"/>
        <v>14225</v>
      </c>
      <c r="P200" s="2">
        <f t="shared" si="74"/>
        <v>1293.1818181818182</v>
      </c>
      <c r="Q200" s="2">
        <f t="shared" si="75"/>
        <v>-1293.1818181818182</v>
      </c>
    </row>
    <row r="201" spans="1:17" x14ac:dyDescent="0.25">
      <c r="A201" s="3" t="s">
        <v>170</v>
      </c>
      <c r="B201" s="2">
        <v>11843.29</v>
      </c>
      <c r="C201" s="2">
        <v>5450.87</v>
      </c>
      <c r="D201" s="7">
        <v>12040.98</v>
      </c>
      <c r="E201" s="7">
        <v>8053.61</v>
      </c>
      <c r="F201" s="2"/>
      <c r="G201" s="2"/>
      <c r="H201" s="2"/>
      <c r="I201" s="2"/>
      <c r="J201" s="2"/>
      <c r="K201" s="2"/>
      <c r="L201" s="2"/>
      <c r="M201" s="2"/>
      <c r="N201" s="2">
        <f t="shared" si="73"/>
        <v>37388.75</v>
      </c>
      <c r="P201" s="2">
        <f t="shared" si="74"/>
        <v>3398.9772727272725</v>
      </c>
      <c r="Q201" s="2">
        <f t="shared" si="75"/>
        <v>-3398.9772727272725</v>
      </c>
    </row>
    <row r="202" spans="1:17" x14ac:dyDescent="0.25">
      <c r="A202" s="3" t="s">
        <v>171</v>
      </c>
      <c r="B202" s="2">
        <v>8676.52</v>
      </c>
      <c r="C202" s="2">
        <v>8676.52</v>
      </c>
      <c r="D202" s="7">
        <v>8676.51</v>
      </c>
      <c r="E202" s="7">
        <v>8676.52</v>
      </c>
      <c r="F202" s="2"/>
      <c r="G202" s="2"/>
      <c r="H202" s="2"/>
      <c r="I202" s="2"/>
      <c r="J202" s="2"/>
      <c r="K202" s="2"/>
      <c r="L202" s="2"/>
      <c r="M202" s="2"/>
      <c r="N202" s="2">
        <f t="shared" si="73"/>
        <v>34706.070000000007</v>
      </c>
      <c r="P202" s="2">
        <f t="shared" si="74"/>
        <v>3155.0972727272733</v>
      </c>
      <c r="Q202" s="2">
        <f t="shared" si="75"/>
        <v>-3155.0972727272733</v>
      </c>
    </row>
    <row r="203" spans="1:17" x14ac:dyDescent="0.25">
      <c r="A203" s="3" t="s">
        <v>172</v>
      </c>
      <c r="B203" s="2">
        <v>3100</v>
      </c>
      <c r="C203" s="2">
        <v>3100</v>
      </c>
      <c r="D203" s="7">
        <v>3100</v>
      </c>
      <c r="E203" s="7">
        <v>3100</v>
      </c>
      <c r="F203" s="2"/>
      <c r="G203" s="2"/>
      <c r="H203" s="2"/>
      <c r="I203" s="2"/>
      <c r="J203" s="2"/>
      <c r="K203" s="2"/>
      <c r="L203" s="2"/>
      <c r="M203" s="2"/>
      <c r="N203" s="2">
        <f t="shared" si="73"/>
        <v>12400</v>
      </c>
      <c r="P203" s="2">
        <f t="shared" si="74"/>
        <v>1127.2727272727273</v>
      </c>
      <c r="Q203" s="2">
        <f t="shared" si="75"/>
        <v>-1127.2727272727273</v>
      </c>
    </row>
    <row r="204" spans="1:17" x14ac:dyDescent="0.25">
      <c r="A204" s="3" t="s">
        <v>173</v>
      </c>
      <c r="B204" s="2">
        <v>5157.18</v>
      </c>
      <c r="C204" s="2">
        <v>5157.18</v>
      </c>
      <c r="D204" s="7">
        <v>5023.41</v>
      </c>
      <c r="E204" s="7">
        <v>5123.42</v>
      </c>
      <c r="F204" s="2"/>
      <c r="G204" s="2"/>
      <c r="H204" s="2"/>
      <c r="I204" s="2"/>
      <c r="J204" s="2"/>
      <c r="K204" s="2"/>
      <c r="L204" s="2"/>
      <c r="M204" s="2"/>
      <c r="N204" s="2">
        <f t="shared" si="73"/>
        <v>20461.190000000002</v>
      </c>
      <c r="P204" s="2">
        <f t="shared" si="74"/>
        <v>1860.1081818181819</v>
      </c>
      <c r="Q204" s="2">
        <f t="shared" si="75"/>
        <v>-1860.1081818181819</v>
      </c>
    </row>
    <row r="205" spans="1:17" x14ac:dyDescent="0.25">
      <c r="A205" s="3" t="s">
        <v>174</v>
      </c>
      <c r="B205" s="2">
        <v>781.02</v>
      </c>
      <c r="C205" s="2">
        <v>3798.75</v>
      </c>
      <c r="D205" s="7">
        <v>1347.95</v>
      </c>
      <c r="E205" s="7">
        <v>606.57000000000005</v>
      </c>
      <c r="F205" s="2"/>
      <c r="G205" s="2"/>
      <c r="H205" s="2"/>
      <c r="I205" s="2"/>
      <c r="J205" s="2"/>
      <c r="K205" s="2"/>
      <c r="L205" s="2"/>
      <c r="M205" s="2"/>
      <c r="N205" s="2">
        <f t="shared" si="73"/>
        <v>6534.29</v>
      </c>
      <c r="O205" s="2"/>
      <c r="P205" s="2">
        <f t="shared" si="74"/>
        <v>594.02636363636361</v>
      </c>
      <c r="Q205" s="2">
        <f t="shared" si="75"/>
        <v>-594.02636363636361</v>
      </c>
    </row>
    <row r="206" spans="1:17" x14ac:dyDescent="0.25">
      <c r="A206" s="3" t="s">
        <v>175</v>
      </c>
      <c r="B206" s="2">
        <v>740.6</v>
      </c>
      <c r="C206" s="2">
        <v>321.60000000000002</v>
      </c>
      <c r="D206" s="7">
        <v>321.60000000000002</v>
      </c>
      <c r="E206" s="7">
        <v>419.18</v>
      </c>
      <c r="F206" s="2"/>
      <c r="G206" s="2"/>
      <c r="H206" s="2"/>
      <c r="I206" s="2"/>
      <c r="J206" s="2"/>
      <c r="K206" s="2"/>
      <c r="L206" s="2"/>
      <c r="M206" s="2"/>
      <c r="N206" s="2">
        <f t="shared" si="73"/>
        <v>1802.9800000000002</v>
      </c>
      <c r="P206" s="2">
        <f t="shared" si="74"/>
        <v>163.90727272727275</v>
      </c>
      <c r="Q206" s="2">
        <f t="shared" si="75"/>
        <v>-163.90727272727275</v>
      </c>
    </row>
    <row r="207" spans="1:17" x14ac:dyDescent="0.25">
      <c r="A207" s="3" t="s">
        <v>176</v>
      </c>
      <c r="B207" s="2">
        <v>333.33</v>
      </c>
      <c r="C207" s="2">
        <v>333.33</v>
      </c>
      <c r="D207" s="7">
        <v>333.33</v>
      </c>
      <c r="E207" s="7">
        <v>333.33</v>
      </c>
      <c r="F207" s="2"/>
      <c r="G207" s="2"/>
      <c r="H207" s="2"/>
      <c r="I207" s="2"/>
      <c r="J207" s="2"/>
      <c r="K207" s="2"/>
      <c r="L207" s="2"/>
      <c r="M207" s="2"/>
      <c r="N207" s="2">
        <f t="shared" si="73"/>
        <v>1333.32</v>
      </c>
      <c r="P207" s="2">
        <f t="shared" si="74"/>
        <v>121.21090909090908</v>
      </c>
      <c r="Q207" s="2">
        <f t="shared" si="75"/>
        <v>-121.21090909090908</v>
      </c>
    </row>
    <row r="208" spans="1:17" x14ac:dyDescent="0.25">
      <c r="A208" s="3" t="s">
        <v>177</v>
      </c>
      <c r="B208" s="2">
        <v>115897.3</v>
      </c>
      <c r="C208" s="2">
        <v>117313.31</v>
      </c>
      <c r="D208" s="7">
        <v>117313.31</v>
      </c>
      <c r="E208" s="7">
        <v>121671.93</v>
      </c>
      <c r="F208" s="2"/>
      <c r="G208" s="2"/>
      <c r="H208" s="2"/>
      <c r="I208" s="2"/>
      <c r="J208" s="2"/>
      <c r="K208" s="2"/>
      <c r="L208" s="2"/>
      <c r="M208" s="2"/>
      <c r="N208" s="2">
        <f t="shared" si="73"/>
        <v>472195.85</v>
      </c>
      <c r="P208" s="2">
        <f t="shared" si="74"/>
        <v>42926.895454545454</v>
      </c>
      <c r="Q208" s="2">
        <f t="shared" si="75"/>
        <v>-42926.895454545454</v>
      </c>
    </row>
    <row r="209" spans="1:17" x14ac:dyDescent="0.25">
      <c r="A209" s="9" t="s">
        <v>178</v>
      </c>
      <c r="B209" s="2">
        <v>0</v>
      </c>
      <c r="C209" s="2">
        <v>0</v>
      </c>
      <c r="D209" s="7">
        <v>0</v>
      </c>
      <c r="E209" s="7">
        <v>1820.4</v>
      </c>
      <c r="F209" s="2"/>
      <c r="G209" s="2"/>
      <c r="H209" s="2"/>
      <c r="I209" s="2"/>
      <c r="J209" s="2"/>
      <c r="K209" s="2"/>
      <c r="L209" s="2"/>
      <c r="M209" s="2"/>
      <c r="N209" s="2">
        <f t="shared" si="73"/>
        <v>1820.4</v>
      </c>
      <c r="P209" s="2">
        <f t="shared" si="74"/>
        <v>165.4909090909091</v>
      </c>
      <c r="Q209" s="2">
        <f t="shared" si="75"/>
        <v>-165.4909090909091</v>
      </c>
    </row>
    <row r="210" spans="1:17" x14ac:dyDescent="0.25">
      <c r="A210" s="9" t="s">
        <v>179</v>
      </c>
      <c r="B210" s="2">
        <v>0</v>
      </c>
      <c r="C210" s="2">
        <v>0</v>
      </c>
      <c r="D210" s="7">
        <v>0</v>
      </c>
      <c r="E210" s="7">
        <v>7200</v>
      </c>
      <c r="F210" s="2"/>
      <c r="G210" s="2"/>
      <c r="H210" s="2"/>
      <c r="I210" s="2"/>
      <c r="J210" s="2"/>
      <c r="K210" s="2"/>
      <c r="L210" s="2"/>
      <c r="M210" s="2"/>
      <c r="N210" s="2">
        <f t="shared" si="73"/>
        <v>7200</v>
      </c>
      <c r="P210" s="2">
        <f t="shared" si="74"/>
        <v>654.5454545454545</v>
      </c>
      <c r="Q210" s="2">
        <f t="shared" si="75"/>
        <v>-654.5454545454545</v>
      </c>
    </row>
    <row r="211" spans="1:17" ht="15.75" thickBot="1" x14ac:dyDescent="0.3">
      <c r="A211" s="48" t="s">
        <v>180</v>
      </c>
      <c r="B211" s="49">
        <f>SUM(B195:B210)</f>
        <v>196640.18</v>
      </c>
      <c r="C211" s="49">
        <f>SUM(C195:C210)</f>
        <v>189381.89</v>
      </c>
      <c r="D211" s="49">
        <f>SUM(D195:D210)</f>
        <v>195764.02000000002</v>
      </c>
      <c r="E211" s="49">
        <f>SUM(E195:E210)</f>
        <v>194522.74</v>
      </c>
      <c r="F211" s="49">
        <f t="shared" ref="F211:M211" si="76">SUM(F196:F208)</f>
        <v>0</v>
      </c>
      <c r="G211" s="49">
        <f t="shared" si="76"/>
        <v>0</v>
      </c>
      <c r="H211" s="49">
        <f t="shared" si="76"/>
        <v>0</v>
      </c>
      <c r="I211" s="49">
        <f t="shared" si="76"/>
        <v>0</v>
      </c>
      <c r="J211" s="49">
        <f t="shared" si="76"/>
        <v>0</v>
      </c>
      <c r="K211" s="49">
        <f t="shared" si="76"/>
        <v>0</v>
      </c>
      <c r="L211" s="49">
        <f t="shared" si="76"/>
        <v>0</v>
      </c>
      <c r="M211" s="49">
        <f t="shared" si="76"/>
        <v>0</v>
      </c>
      <c r="N211" s="49">
        <f>SUM(N195:N210)</f>
        <v>776308.83</v>
      </c>
      <c r="P211" s="49">
        <f t="shared" si="74"/>
        <v>70573.53</v>
      </c>
      <c r="Q211" s="49">
        <f t="shared" si="75"/>
        <v>-70573.53</v>
      </c>
    </row>
    <row r="212" spans="1:17" ht="15.75" thickTop="1" x14ac:dyDescent="0.25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P212" s="2">
        <f t="shared" si="74"/>
        <v>0</v>
      </c>
      <c r="Q212" s="2">
        <f t="shared" si="75"/>
        <v>0</v>
      </c>
    </row>
    <row r="213" spans="1:17" x14ac:dyDescent="0.25">
      <c r="A213" s="3" t="s">
        <v>181</v>
      </c>
      <c r="B213" s="2">
        <v>0</v>
      </c>
      <c r="C213" s="2">
        <v>0</v>
      </c>
      <c r="D213" s="2">
        <v>0</v>
      </c>
      <c r="E213" s="2"/>
      <c r="F213" s="2"/>
      <c r="G213" s="2"/>
      <c r="H213" s="2"/>
      <c r="I213" s="2"/>
      <c r="J213" s="2"/>
      <c r="K213" s="2"/>
      <c r="L213" s="2"/>
      <c r="M213" s="2"/>
      <c r="N213" s="2">
        <f t="shared" ref="N213:N233" si="77">SUM(B213:M213)</f>
        <v>0</v>
      </c>
      <c r="P213" s="2">
        <f t="shared" si="74"/>
        <v>0</v>
      </c>
      <c r="Q213" s="2">
        <f t="shared" si="75"/>
        <v>0</v>
      </c>
    </row>
    <row r="214" spans="1:17" x14ac:dyDescent="0.25">
      <c r="A214" s="3" t="s">
        <v>182</v>
      </c>
      <c r="B214" s="2">
        <v>5835.67</v>
      </c>
      <c r="C214" s="2">
        <v>5000</v>
      </c>
      <c r="D214" s="7">
        <v>4813.05</v>
      </c>
      <c r="E214" s="7">
        <v>5000</v>
      </c>
      <c r="F214" s="2"/>
      <c r="G214" s="2"/>
      <c r="H214" s="2"/>
      <c r="I214" s="2"/>
      <c r="J214" s="2"/>
      <c r="K214" s="2"/>
      <c r="L214" s="2"/>
      <c r="M214" s="2"/>
      <c r="N214" s="2">
        <f t="shared" si="77"/>
        <v>20648.72</v>
      </c>
      <c r="P214" s="2">
        <f t="shared" si="74"/>
        <v>1877.1563636363637</v>
      </c>
      <c r="Q214" s="2">
        <f t="shared" si="75"/>
        <v>-1877.1563636363637</v>
      </c>
    </row>
    <row r="215" spans="1:17" x14ac:dyDescent="0.25">
      <c r="A215" s="3" t="s">
        <v>183</v>
      </c>
      <c r="B215" s="2">
        <v>815.83</v>
      </c>
      <c r="C215" s="2">
        <v>1293.81</v>
      </c>
      <c r="D215" s="7">
        <v>863.73</v>
      </c>
      <c r="E215" s="7">
        <v>836.51</v>
      </c>
      <c r="F215" s="2"/>
      <c r="G215" s="2"/>
      <c r="H215" s="2"/>
      <c r="I215" s="2"/>
      <c r="J215" s="2"/>
      <c r="K215" s="2"/>
      <c r="L215" s="2"/>
      <c r="M215" s="2"/>
      <c r="N215" s="2">
        <f t="shared" si="77"/>
        <v>3809.88</v>
      </c>
      <c r="P215" s="2">
        <f t="shared" si="74"/>
        <v>346.35272727272729</v>
      </c>
      <c r="Q215" s="2">
        <f t="shared" si="75"/>
        <v>-346.35272727272729</v>
      </c>
    </row>
    <row r="216" spans="1:17" x14ac:dyDescent="0.25">
      <c r="A216" s="3" t="s">
        <v>184</v>
      </c>
      <c r="B216" s="2">
        <v>11891.59</v>
      </c>
      <c r="C216" s="2">
        <v>11089.07</v>
      </c>
      <c r="D216" s="7">
        <v>11189.22</v>
      </c>
      <c r="E216" s="7">
        <v>11179.32</v>
      </c>
      <c r="F216" s="2"/>
      <c r="G216" s="2"/>
      <c r="H216" s="2"/>
      <c r="I216" s="2"/>
      <c r="J216" s="2"/>
      <c r="K216" s="2"/>
      <c r="L216" s="2"/>
      <c r="M216" s="2"/>
      <c r="N216" s="2">
        <f t="shared" si="77"/>
        <v>45349.2</v>
      </c>
      <c r="P216" s="2">
        <f t="shared" si="74"/>
        <v>4122.6545454545449</v>
      </c>
      <c r="Q216" s="2">
        <f t="shared" si="75"/>
        <v>-4122.6545454545449</v>
      </c>
    </row>
    <row r="217" spans="1:17" x14ac:dyDescent="0.25">
      <c r="A217" s="3" t="s">
        <v>185</v>
      </c>
      <c r="B217" s="2">
        <v>0</v>
      </c>
      <c r="C217" s="2">
        <v>0</v>
      </c>
      <c r="D217" s="7">
        <v>0</v>
      </c>
      <c r="E217" s="7">
        <v>0</v>
      </c>
      <c r="F217" s="2"/>
      <c r="G217" s="2"/>
      <c r="H217" s="2"/>
      <c r="I217" s="2"/>
      <c r="J217" s="2"/>
      <c r="K217" s="2"/>
      <c r="L217" s="2"/>
      <c r="M217" s="2"/>
      <c r="N217" s="2">
        <f t="shared" si="77"/>
        <v>0</v>
      </c>
      <c r="P217" s="2">
        <f t="shared" si="74"/>
        <v>0</v>
      </c>
      <c r="Q217" s="2">
        <f t="shared" si="75"/>
        <v>0</v>
      </c>
    </row>
    <row r="218" spans="1:17" x14ac:dyDescent="0.25">
      <c r="A218" s="3" t="s">
        <v>186</v>
      </c>
      <c r="B218" s="2">
        <v>2200</v>
      </c>
      <c r="C218" s="2">
        <v>545.54</v>
      </c>
      <c r="D218" s="7">
        <v>774.24</v>
      </c>
      <c r="E218" s="7">
        <v>36.65</v>
      </c>
      <c r="F218" s="2"/>
      <c r="G218" s="2"/>
      <c r="H218" s="2"/>
      <c r="I218" s="2"/>
      <c r="J218" s="2"/>
      <c r="K218" s="2"/>
      <c r="L218" s="2"/>
      <c r="M218" s="2"/>
      <c r="N218" s="2">
        <f t="shared" si="77"/>
        <v>3556.43</v>
      </c>
      <c r="P218" s="2">
        <f t="shared" si="74"/>
        <v>323.31181818181818</v>
      </c>
      <c r="Q218" s="2">
        <f t="shared" si="75"/>
        <v>-323.31181818181818</v>
      </c>
    </row>
    <row r="219" spans="1:17" x14ac:dyDescent="0.25">
      <c r="A219" s="3" t="s">
        <v>187</v>
      </c>
      <c r="B219" s="2">
        <v>60891</v>
      </c>
      <c r="C219" s="2">
        <v>40859.82</v>
      </c>
      <c r="D219" s="7">
        <v>36402.949999999997</v>
      </c>
      <c r="E219" s="7">
        <v>43877.66</v>
      </c>
      <c r="F219" s="2"/>
      <c r="G219" s="2"/>
      <c r="H219" s="2"/>
      <c r="I219" s="2"/>
      <c r="J219" s="2"/>
      <c r="K219" s="2"/>
      <c r="L219" s="2"/>
      <c r="M219" s="2"/>
      <c r="N219" s="2">
        <f t="shared" si="77"/>
        <v>182031.43000000002</v>
      </c>
      <c r="O219" s="2"/>
      <c r="P219" s="2">
        <f t="shared" si="74"/>
        <v>16548.311818181821</v>
      </c>
      <c r="Q219" s="2">
        <f t="shared" si="75"/>
        <v>-16548.311818181821</v>
      </c>
    </row>
    <row r="220" spans="1:17" x14ac:dyDescent="0.25">
      <c r="A220" s="3" t="s">
        <v>188</v>
      </c>
      <c r="B220" s="2">
        <v>0</v>
      </c>
      <c r="C220" s="2">
        <v>0</v>
      </c>
      <c r="D220" s="7">
        <v>0</v>
      </c>
      <c r="E220" s="7">
        <v>0</v>
      </c>
      <c r="F220" s="2"/>
      <c r="G220" s="2"/>
      <c r="H220" s="2"/>
      <c r="I220" s="2"/>
      <c r="J220" s="2"/>
      <c r="K220" s="2"/>
      <c r="L220" s="2"/>
      <c r="M220" s="2"/>
      <c r="N220" s="2">
        <f t="shared" si="77"/>
        <v>0</v>
      </c>
      <c r="P220" s="2">
        <f t="shared" si="74"/>
        <v>0</v>
      </c>
      <c r="Q220" s="2">
        <f t="shared" si="75"/>
        <v>0</v>
      </c>
    </row>
    <row r="221" spans="1:17" x14ac:dyDescent="0.25">
      <c r="A221" s="3" t="s">
        <v>189</v>
      </c>
      <c r="B221" s="2">
        <v>0</v>
      </c>
      <c r="C221" s="2">
        <v>0</v>
      </c>
      <c r="D221" s="7">
        <v>0</v>
      </c>
      <c r="E221" s="7">
        <v>0</v>
      </c>
      <c r="F221" s="2"/>
      <c r="G221" s="2"/>
      <c r="H221" s="2"/>
      <c r="I221" s="2"/>
      <c r="J221" s="2"/>
      <c r="K221" s="2"/>
      <c r="L221" s="2"/>
      <c r="M221" s="2"/>
      <c r="N221" s="2">
        <f t="shared" si="77"/>
        <v>0</v>
      </c>
      <c r="P221" s="2">
        <f t="shared" si="74"/>
        <v>0</v>
      </c>
      <c r="Q221" s="2">
        <f t="shared" si="75"/>
        <v>0</v>
      </c>
    </row>
    <row r="222" spans="1:17" x14ac:dyDescent="0.25">
      <c r="A222" s="3" t="s">
        <v>190</v>
      </c>
      <c r="B222" s="2">
        <v>0</v>
      </c>
      <c r="C222" s="2">
        <v>0</v>
      </c>
      <c r="D222" s="7">
        <v>0</v>
      </c>
      <c r="E222" s="7">
        <v>3888.88</v>
      </c>
      <c r="F222" s="2"/>
      <c r="G222" s="2"/>
      <c r="H222" s="2"/>
      <c r="I222" s="2"/>
      <c r="J222" s="2"/>
      <c r="K222" s="2"/>
      <c r="L222" s="2"/>
      <c r="M222" s="2"/>
      <c r="N222" s="2">
        <f t="shared" si="77"/>
        <v>3888.88</v>
      </c>
      <c r="P222" s="2">
        <f t="shared" si="74"/>
        <v>353.53454545454548</v>
      </c>
      <c r="Q222" s="2">
        <f t="shared" si="75"/>
        <v>-353.53454545454548</v>
      </c>
    </row>
    <row r="223" spans="1:17" x14ac:dyDescent="0.25">
      <c r="A223" s="3" t="s">
        <v>191</v>
      </c>
      <c r="B223" s="2">
        <v>0</v>
      </c>
      <c r="C223" s="2">
        <v>0</v>
      </c>
      <c r="D223" s="7">
        <v>0</v>
      </c>
      <c r="E223" s="7">
        <v>0</v>
      </c>
      <c r="F223" s="2"/>
      <c r="G223" s="2"/>
      <c r="H223" s="2"/>
      <c r="I223" s="2"/>
      <c r="J223" s="2"/>
      <c r="K223" s="2"/>
      <c r="L223" s="2"/>
      <c r="M223" s="2"/>
      <c r="N223" s="2">
        <f t="shared" si="77"/>
        <v>0</v>
      </c>
      <c r="O223" s="2"/>
      <c r="P223" s="2">
        <f t="shared" si="74"/>
        <v>0</v>
      </c>
      <c r="Q223" s="2">
        <f t="shared" si="75"/>
        <v>0</v>
      </c>
    </row>
    <row r="224" spans="1:17" x14ac:dyDescent="0.25">
      <c r="A224" s="3" t="s">
        <v>192</v>
      </c>
      <c r="B224" s="2">
        <v>-1079.68</v>
      </c>
      <c r="C224" s="2">
        <v>2431.7199999999998</v>
      </c>
      <c r="D224" s="7">
        <v>1397.5</v>
      </c>
      <c r="E224" s="7">
        <f>1455.94+540.08</f>
        <v>1996.02</v>
      </c>
      <c r="F224" s="2"/>
      <c r="G224" s="2"/>
      <c r="H224" s="2"/>
      <c r="I224" s="2"/>
      <c r="J224" s="2"/>
      <c r="K224" s="2"/>
      <c r="L224" s="2"/>
      <c r="M224" s="2"/>
      <c r="N224" s="2">
        <f t="shared" si="77"/>
        <v>4745.5599999999995</v>
      </c>
      <c r="P224" s="2">
        <f t="shared" si="74"/>
        <v>431.41454545454542</v>
      </c>
      <c r="Q224" s="2">
        <f t="shared" si="75"/>
        <v>-431.41454545454542</v>
      </c>
    </row>
    <row r="225" spans="1:17" x14ac:dyDescent="0.25">
      <c r="A225" s="3" t="s">
        <v>193</v>
      </c>
      <c r="B225" s="2">
        <v>369.62</v>
      </c>
      <c r="C225" s="2">
        <v>337.5</v>
      </c>
      <c r="D225" s="7">
        <v>0</v>
      </c>
      <c r="E225" s="7">
        <v>269.62</v>
      </c>
      <c r="F225" s="2"/>
      <c r="G225" s="2"/>
      <c r="H225" s="2"/>
      <c r="I225" s="2"/>
      <c r="J225" s="2"/>
      <c r="K225" s="2"/>
      <c r="L225" s="2"/>
      <c r="M225" s="2"/>
      <c r="N225" s="2">
        <f t="shared" si="77"/>
        <v>976.74</v>
      </c>
      <c r="P225" s="2">
        <f t="shared" si="74"/>
        <v>88.794545454545457</v>
      </c>
      <c r="Q225" s="2">
        <f t="shared" si="75"/>
        <v>-88.794545454545457</v>
      </c>
    </row>
    <row r="226" spans="1:17" x14ac:dyDescent="0.25">
      <c r="A226" s="3" t="s">
        <v>194</v>
      </c>
      <c r="B226" s="2">
        <v>5036.3900000000003</v>
      </c>
      <c r="C226" s="2">
        <v>4091.87</v>
      </c>
      <c r="D226" s="7">
        <v>4231.8500000000004</v>
      </c>
      <c r="E226" s="7">
        <v>1960.99</v>
      </c>
      <c r="F226" s="2"/>
      <c r="G226" s="2"/>
      <c r="H226" s="2"/>
      <c r="I226" s="2"/>
      <c r="J226" s="2"/>
      <c r="K226" s="2"/>
      <c r="L226" s="2"/>
      <c r="M226" s="2"/>
      <c r="N226" s="2">
        <f t="shared" si="77"/>
        <v>15321.1</v>
      </c>
      <c r="P226" s="2">
        <f t="shared" si="74"/>
        <v>1392.8272727272727</v>
      </c>
      <c r="Q226" s="2">
        <f t="shared" si="75"/>
        <v>-1392.8272727272727</v>
      </c>
    </row>
    <row r="227" spans="1:17" x14ac:dyDescent="0.25">
      <c r="A227" s="3" t="s">
        <v>195</v>
      </c>
      <c r="B227" s="2">
        <v>2582.41</v>
      </c>
      <c r="C227" s="2">
        <v>2701.31</v>
      </c>
      <c r="D227" s="7">
        <v>3298.35</v>
      </c>
      <c r="E227" s="2">
        <v>2350.81</v>
      </c>
      <c r="F227" s="2"/>
      <c r="G227" s="2"/>
      <c r="H227" s="2"/>
      <c r="I227" s="2"/>
      <c r="J227" s="2"/>
      <c r="K227" s="2"/>
      <c r="L227" s="2"/>
      <c r="M227" s="2"/>
      <c r="N227" s="2">
        <f t="shared" si="77"/>
        <v>10932.88</v>
      </c>
      <c r="P227" s="2">
        <f t="shared" si="74"/>
        <v>993.8981818181818</v>
      </c>
      <c r="Q227" s="2">
        <f t="shared" si="75"/>
        <v>-993.8981818181818</v>
      </c>
    </row>
    <row r="228" spans="1:17" x14ac:dyDescent="0.25">
      <c r="A228" s="9" t="s">
        <v>196</v>
      </c>
      <c r="B228" s="2">
        <v>15298</v>
      </c>
      <c r="C228" s="2">
        <v>15298</v>
      </c>
      <c r="D228" s="2">
        <v>15298</v>
      </c>
      <c r="E228" s="2">
        <v>8098</v>
      </c>
      <c r="F228" s="2"/>
      <c r="G228" s="2"/>
      <c r="H228" s="2"/>
      <c r="I228" s="2"/>
      <c r="J228" s="2"/>
      <c r="K228" s="2"/>
      <c r="L228" s="2"/>
      <c r="M228" s="2"/>
      <c r="N228" s="2">
        <f t="shared" si="77"/>
        <v>53992</v>
      </c>
      <c r="P228" s="2">
        <f>(N228-M228)/11</f>
        <v>4908.363636363636</v>
      </c>
      <c r="Q228" s="2">
        <f>M228-P228</f>
        <v>-4908.363636363636</v>
      </c>
    </row>
    <row r="229" spans="1:17" x14ac:dyDescent="0.25">
      <c r="A229" s="9" t="s">
        <v>197</v>
      </c>
      <c r="B229" s="2">
        <v>3253.33</v>
      </c>
      <c r="C229" s="2">
        <v>2533.33</v>
      </c>
      <c r="D229" s="7">
        <v>2533.33</v>
      </c>
      <c r="E229" s="2">
        <v>2533.33</v>
      </c>
      <c r="F229" s="2"/>
      <c r="G229" s="2"/>
      <c r="H229" s="2"/>
      <c r="I229" s="2"/>
      <c r="J229" s="2"/>
      <c r="K229" s="2"/>
      <c r="L229" s="2"/>
      <c r="M229" s="2"/>
      <c r="N229" s="2">
        <f t="shared" si="77"/>
        <v>10853.32</v>
      </c>
      <c r="P229" s="2">
        <f t="shared" si="74"/>
        <v>986.66545454545451</v>
      </c>
      <c r="Q229" s="2">
        <f t="shared" si="75"/>
        <v>-986.66545454545451</v>
      </c>
    </row>
    <row r="230" spans="1:17" x14ac:dyDescent="0.25">
      <c r="A230" s="9" t="s">
        <v>198</v>
      </c>
      <c r="B230" s="2">
        <v>1266.67</v>
      </c>
      <c r="C230" s="2">
        <v>1266.67</v>
      </c>
      <c r="D230" s="7">
        <v>6536.01</v>
      </c>
      <c r="E230" s="2">
        <v>3238.1</v>
      </c>
      <c r="F230" s="2"/>
      <c r="G230" s="2"/>
      <c r="H230" s="2"/>
      <c r="I230" s="2"/>
      <c r="J230" s="2"/>
      <c r="K230" s="2"/>
      <c r="L230" s="2"/>
      <c r="M230" s="2"/>
      <c r="N230" s="2">
        <f t="shared" si="77"/>
        <v>12307.45</v>
      </c>
      <c r="P230" s="2">
        <f t="shared" si="74"/>
        <v>1118.859090909091</v>
      </c>
      <c r="Q230" s="2">
        <f t="shared" si="75"/>
        <v>-1118.859090909091</v>
      </c>
    </row>
    <row r="231" spans="1:17" x14ac:dyDescent="0.25">
      <c r="A231" s="9" t="s">
        <v>199</v>
      </c>
      <c r="B231" s="2">
        <v>428.57</v>
      </c>
      <c r="C231" s="2">
        <v>428.57</v>
      </c>
      <c r="D231" s="7">
        <v>428.57</v>
      </c>
      <c r="E231" s="2">
        <v>428.57</v>
      </c>
      <c r="F231" s="2"/>
      <c r="G231" s="2"/>
      <c r="H231" s="2"/>
      <c r="I231" s="2"/>
      <c r="J231" s="2"/>
      <c r="K231" s="2"/>
      <c r="L231" s="2"/>
      <c r="M231" s="2"/>
      <c r="N231" s="2">
        <f t="shared" si="77"/>
        <v>1714.28</v>
      </c>
      <c r="P231" s="2">
        <f t="shared" si="74"/>
        <v>155.84363636363636</v>
      </c>
      <c r="Q231" s="2">
        <f t="shared" si="75"/>
        <v>-155.84363636363636</v>
      </c>
    </row>
    <row r="232" spans="1:17" x14ac:dyDescent="0.25">
      <c r="A232" s="9" t="s">
        <v>200</v>
      </c>
      <c r="B232" s="2">
        <v>2451.4299999999998</v>
      </c>
      <c r="C232" s="2">
        <v>2673.97</v>
      </c>
      <c r="D232" s="7">
        <v>2254.42</v>
      </c>
      <c r="E232" s="2">
        <v>0</v>
      </c>
      <c r="F232" s="2"/>
      <c r="G232" s="2"/>
      <c r="H232" s="2"/>
      <c r="I232" s="2"/>
      <c r="J232" s="2"/>
      <c r="K232" s="2"/>
      <c r="L232" s="2"/>
      <c r="M232" s="2"/>
      <c r="N232" s="2">
        <f t="shared" si="77"/>
        <v>7379.82</v>
      </c>
      <c r="P232" s="2">
        <f t="shared" si="74"/>
        <v>670.89272727272726</v>
      </c>
      <c r="Q232" s="2">
        <f t="shared" si="75"/>
        <v>-670.89272727272726</v>
      </c>
    </row>
    <row r="233" spans="1:17" x14ac:dyDescent="0.25">
      <c r="A233" s="9" t="s">
        <v>201</v>
      </c>
      <c r="B233" s="2">
        <v>0</v>
      </c>
      <c r="C233" s="2">
        <v>680.88</v>
      </c>
      <c r="D233" s="7">
        <v>4256.26</v>
      </c>
      <c r="E233" s="2">
        <v>998.65</v>
      </c>
      <c r="F233" s="2"/>
      <c r="G233" s="2"/>
      <c r="H233" s="2"/>
      <c r="I233" s="2"/>
      <c r="J233" s="2"/>
      <c r="K233" s="2"/>
      <c r="L233" s="2"/>
      <c r="M233" s="2"/>
      <c r="N233" s="2">
        <f t="shared" si="77"/>
        <v>5935.79</v>
      </c>
      <c r="P233" s="2">
        <f t="shared" si="74"/>
        <v>539.61727272727273</v>
      </c>
      <c r="Q233" s="2">
        <f t="shared" si="75"/>
        <v>-539.61727272727273</v>
      </c>
    </row>
    <row r="234" spans="1:17" ht="15.75" thickBot="1" x14ac:dyDescent="0.3">
      <c r="A234" s="48" t="s">
        <v>202</v>
      </c>
      <c r="B234" s="49">
        <f t="shared" ref="B234:N234" si="78">SUM(B213:B233)</f>
        <v>111240.83</v>
      </c>
      <c r="C234" s="49">
        <f t="shared" si="78"/>
        <v>91232.060000000012</v>
      </c>
      <c r="D234" s="49">
        <f t="shared" si="78"/>
        <v>94277.48</v>
      </c>
      <c r="E234" s="49">
        <f t="shared" si="78"/>
        <v>86693.110000000015</v>
      </c>
      <c r="F234" s="49">
        <f t="shared" si="78"/>
        <v>0</v>
      </c>
      <c r="G234" s="49">
        <f t="shared" si="78"/>
        <v>0</v>
      </c>
      <c r="H234" s="49">
        <f t="shared" si="78"/>
        <v>0</v>
      </c>
      <c r="I234" s="49">
        <f t="shared" si="78"/>
        <v>0</v>
      </c>
      <c r="J234" s="49">
        <f t="shared" si="78"/>
        <v>0</v>
      </c>
      <c r="K234" s="49">
        <f t="shared" si="78"/>
        <v>0</v>
      </c>
      <c r="L234" s="49">
        <f t="shared" si="78"/>
        <v>0</v>
      </c>
      <c r="M234" s="49">
        <f t="shared" si="78"/>
        <v>0</v>
      </c>
      <c r="N234" s="49">
        <f t="shared" si="78"/>
        <v>383443.48000000004</v>
      </c>
      <c r="P234" s="49">
        <f t="shared" si="74"/>
        <v>34858.498181818184</v>
      </c>
      <c r="Q234" s="49">
        <f t="shared" si="75"/>
        <v>-34858.498181818184</v>
      </c>
    </row>
    <row r="235" spans="1:17" ht="15.75" thickTop="1" x14ac:dyDescent="0.25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P235" s="2">
        <f t="shared" si="74"/>
        <v>0</v>
      </c>
      <c r="Q235" s="2">
        <f t="shared" si="75"/>
        <v>0</v>
      </c>
    </row>
    <row r="236" spans="1:17" x14ac:dyDescent="0.25">
      <c r="A236" s="48" t="s">
        <v>364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P236" s="2">
        <f t="shared" si="74"/>
        <v>0</v>
      </c>
      <c r="Q236" s="2">
        <f t="shared" si="75"/>
        <v>0</v>
      </c>
    </row>
    <row r="237" spans="1:17" x14ac:dyDescent="0.25">
      <c r="A237" s="3" t="s">
        <v>203</v>
      </c>
      <c r="B237" s="2">
        <v>12500</v>
      </c>
      <c r="C237" s="2">
        <v>12500</v>
      </c>
      <c r="D237" s="2">
        <v>12500</v>
      </c>
      <c r="E237" s="2">
        <v>12500</v>
      </c>
      <c r="F237" s="2"/>
      <c r="G237" s="2"/>
      <c r="H237" s="2"/>
      <c r="I237" s="2"/>
      <c r="J237" s="2"/>
      <c r="K237" s="2"/>
      <c r="L237" s="2"/>
      <c r="M237" s="2"/>
      <c r="N237" s="2">
        <f t="shared" ref="N237:N242" si="79">SUM(B237:M237)</f>
        <v>50000</v>
      </c>
      <c r="P237" s="2">
        <f t="shared" si="74"/>
        <v>4545.454545454545</v>
      </c>
      <c r="Q237" s="2">
        <f t="shared" si="75"/>
        <v>-4545.454545454545</v>
      </c>
    </row>
    <row r="238" spans="1:17" x14ac:dyDescent="0.25">
      <c r="A238" s="3" t="s">
        <v>204</v>
      </c>
      <c r="B238" s="2">
        <v>34022.5</v>
      </c>
      <c r="C238" s="2">
        <v>34265</v>
      </c>
      <c r="D238" s="2">
        <v>34451.25</v>
      </c>
      <c r="E238" s="2">
        <v>34845</v>
      </c>
      <c r="F238" s="2"/>
      <c r="G238" s="2"/>
      <c r="H238" s="2"/>
      <c r="I238" s="2"/>
      <c r="J238" s="2"/>
      <c r="K238" s="2"/>
      <c r="L238" s="2"/>
      <c r="M238" s="2"/>
      <c r="N238" s="2">
        <f t="shared" si="79"/>
        <v>137583.75</v>
      </c>
      <c r="P238" s="2">
        <f t="shared" si="74"/>
        <v>12507.613636363636</v>
      </c>
      <c r="Q238" s="2">
        <f t="shared" si="75"/>
        <v>-12507.613636363636</v>
      </c>
    </row>
    <row r="239" spans="1:17" x14ac:dyDescent="0.25">
      <c r="A239" s="9" t="s">
        <v>205</v>
      </c>
      <c r="B239" s="2">
        <v>6585.5</v>
      </c>
      <c r="C239" s="2">
        <v>10400.5</v>
      </c>
      <c r="D239" s="2">
        <v>6846.5</v>
      </c>
      <c r="E239" s="2">
        <v>18155</v>
      </c>
      <c r="F239" s="2"/>
      <c r="G239" s="2"/>
      <c r="H239" s="2"/>
      <c r="I239" s="2"/>
      <c r="J239" s="2"/>
      <c r="K239" s="2"/>
      <c r="L239" s="2"/>
      <c r="M239" s="2"/>
      <c r="N239" s="2">
        <f t="shared" si="79"/>
        <v>41987.5</v>
      </c>
      <c r="P239" s="2"/>
      <c r="Q239" s="2"/>
    </row>
    <row r="240" spans="1:17" x14ac:dyDescent="0.25">
      <c r="A240" s="3" t="s">
        <v>206</v>
      </c>
      <c r="B240" s="2">
        <v>41021.9</v>
      </c>
      <c r="C240" s="2">
        <v>14206.22</v>
      </c>
      <c r="D240" s="2">
        <v>13266.54</v>
      </c>
      <c r="E240" s="2">
        <v>32043.16</v>
      </c>
      <c r="F240" s="2"/>
      <c r="G240" s="2"/>
      <c r="H240" s="2"/>
      <c r="I240" s="2"/>
      <c r="J240" s="2"/>
      <c r="K240" s="2"/>
      <c r="L240" s="2"/>
      <c r="M240" s="2"/>
      <c r="N240" s="2">
        <f t="shared" si="79"/>
        <v>100537.82</v>
      </c>
      <c r="P240" s="2">
        <f t="shared" ref="P240:P247" si="80">(N240-M240)/11</f>
        <v>9139.8018181818188</v>
      </c>
      <c r="Q240" s="2">
        <f t="shared" ref="Q240:Q247" si="81">M240-P240</f>
        <v>-9139.8018181818188</v>
      </c>
    </row>
    <row r="241" spans="1:18" x14ac:dyDescent="0.25">
      <c r="A241" s="3" t="s">
        <v>207</v>
      </c>
      <c r="B241" s="2">
        <v>-12832.51</v>
      </c>
      <c r="C241" s="2">
        <v>-10798.17</v>
      </c>
      <c r="D241" s="2">
        <v>-12464.55</v>
      </c>
      <c r="E241" s="2">
        <v>-15499.01</v>
      </c>
      <c r="F241" s="2"/>
      <c r="G241" s="2"/>
      <c r="H241" s="2"/>
      <c r="I241" s="2"/>
      <c r="J241" s="2"/>
      <c r="K241" s="2"/>
      <c r="L241" s="2"/>
      <c r="M241" s="2"/>
      <c r="N241" s="2">
        <f t="shared" si="79"/>
        <v>-51594.239999999998</v>
      </c>
      <c r="P241" s="2">
        <f t="shared" si="80"/>
        <v>-4690.3854545454542</v>
      </c>
      <c r="Q241" s="2">
        <f t="shared" si="81"/>
        <v>4690.3854545454542</v>
      </c>
    </row>
    <row r="242" spans="1:18" x14ac:dyDescent="0.25">
      <c r="A242" s="9" t="s">
        <v>208</v>
      </c>
      <c r="B242" s="2">
        <v>0</v>
      </c>
      <c r="C242" s="2">
        <v>0</v>
      </c>
      <c r="D242" s="2">
        <v>0.1</v>
      </c>
      <c r="E242" s="2">
        <v>0</v>
      </c>
      <c r="F242" s="2"/>
      <c r="G242" s="2"/>
      <c r="H242" s="2"/>
      <c r="I242" s="2"/>
      <c r="J242" s="2"/>
      <c r="K242" s="2"/>
      <c r="L242" s="2"/>
      <c r="M242" s="2"/>
      <c r="N242" s="2">
        <f t="shared" si="79"/>
        <v>0.1</v>
      </c>
      <c r="P242" s="2">
        <f t="shared" si="80"/>
        <v>9.0909090909090922E-3</v>
      </c>
      <c r="Q242" s="2">
        <f t="shared" si="81"/>
        <v>-9.0909090909090922E-3</v>
      </c>
    </row>
    <row r="243" spans="1:18" ht="15.75" thickBot="1" x14ac:dyDescent="0.3">
      <c r="A243" s="48" t="s">
        <v>209</v>
      </c>
      <c r="B243" s="56">
        <f>SUM(B237:B242)</f>
        <v>81297.39</v>
      </c>
      <c r="C243" s="56">
        <f t="shared" ref="C243:M243" si="82">SUM(C237:C242)</f>
        <v>60573.55</v>
      </c>
      <c r="D243" s="56">
        <f t="shared" si="82"/>
        <v>54599.840000000004</v>
      </c>
      <c r="E243" s="56">
        <f t="shared" si="82"/>
        <v>82044.150000000009</v>
      </c>
      <c r="F243" s="56">
        <f t="shared" si="82"/>
        <v>0</v>
      </c>
      <c r="G243" s="56">
        <f t="shared" si="82"/>
        <v>0</v>
      </c>
      <c r="H243" s="56">
        <f t="shared" si="82"/>
        <v>0</v>
      </c>
      <c r="I243" s="56">
        <f t="shared" si="82"/>
        <v>0</v>
      </c>
      <c r="J243" s="56">
        <f t="shared" si="82"/>
        <v>0</v>
      </c>
      <c r="K243" s="56">
        <f t="shared" si="82"/>
        <v>0</v>
      </c>
      <c r="L243" s="56">
        <f t="shared" si="82"/>
        <v>0</v>
      </c>
      <c r="M243" s="56">
        <f t="shared" si="82"/>
        <v>0</v>
      </c>
      <c r="N243" s="56">
        <f>SUM(N237:N242)</f>
        <v>278514.93</v>
      </c>
      <c r="P243" s="56">
        <f t="shared" si="80"/>
        <v>25319.539090909089</v>
      </c>
      <c r="Q243" s="56">
        <f t="shared" si="81"/>
        <v>-25319.539090909089</v>
      </c>
    </row>
    <row r="244" spans="1:18" ht="15.75" thickTop="1" x14ac:dyDescent="0.25">
      <c r="P244" s="3">
        <f t="shared" si="80"/>
        <v>0</v>
      </c>
      <c r="Q244" s="3">
        <f t="shared" si="81"/>
        <v>0</v>
      </c>
    </row>
    <row r="245" spans="1:18" s="48" customFormat="1" ht="15.75" thickBot="1" x14ac:dyDescent="0.3">
      <c r="A245" s="48" t="s">
        <v>210</v>
      </c>
      <c r="B245" s="49">
        <f t="shared" ref="B245:N245" si="83">B180-B193-B211-B234+B243</f>
        <v>65733.430000085849</v>
      </c>
      <c r="C245" s="49">
        <f t="shared" si="83"/>
        <v>62568.98999987595</v>
      </c>
      <c r="D245" s="49">
        <f t="shared" si="83"/>
        <v>190852.60999999286</v>
      </c>
      <c r="E245" s="49">
        <f t="shared" si="83"/>
        <v>-75463.249999890322</v>
      </c>
      <c r="F245" s="49">
        <f t="shared" si="83"/>
        <v>0</v>
      </c>
      <c r="G245" s="49">
        <f t="shared" si="83"/>
        <v>0</v>
      </c>
      <c r="H245" s="49">
        <f t="shared" si="83"/>
        <v>0</v>
      </c>
      <c r="I245" s="49">
        <f t="shared" si="83"/>
        <v>0</v>
      </c>
      <c r="J245" s="49">
        <f t="shared" si="83"/>
        <v>0</v>
      </c>
      <c r="K245" s="49">
        <f t="shared" si="83"/>
        <v>0</v>
      </c>
      <c r="L245" s="49">
        <f t="shared" si="83"/>
        <v>0</v>
      </c>
      <c r="M245" s="49">
        <f t="shared" si="83"/>
        <v>0</v>
      </c>
      <c r="N245" s="49">
        <f t="shared" si="83"/>
        <v>243691.78000006417</v>
      </c>
      <c r="P245" s="49">
        <f t="shared" si="80"/>
        <v>22153.798181824015</v>
      </c>
      <c r="Q245" s="49">
        <f t="shared" si="81"/>
        <v>-22153.798181824015</v>
      </c>
    </row>
    <row r="246" spans="1:18" ht="15.75" thickTop="1" x14ac:dyDescent="0.25">
      <c r="P246" s="3">
        <f t="shared" si="80"/>
        <v>0</v>
      </c>
      <c r="Q246" s="3">
        <f t="shared" si="81"/>
        <v>0</v>
      </c>
    </row>
    <row r="247" spans="1:18" x14ac:dyDescent="0.25">
      <c r="B247" s="57">
        <f t="shared" ref="B247:N247" si="84">+B73-B245</f>
        <v>3.3411197364330292E-8</v>
      </c>
      <c r="C247" s="57">
        <f t="shared" si="84"/>
        <v>-8.597271516919136E-8</v>
      </c>
      <c r="D247" s="57">
        <f t="shared" si="84"/>
        <v>-6.2136678025126457E-8</v>
      </c>
      <c r="E247" s="57">
        <f t="shared" si="84"/>
        <v>-1.5135447029024363E-7</v>
      </c>
      <c r="F247" s="57">
        <f t="shared" si="84"/>
        <v>0</v>
      </c>
      <c r="G247" s="57">
        <f t="shared" si="84"/>
        <v>0</v>
      </c>
      <c r="H247" s="57">
        <f t="shared" si="84"/>
        <v>0</v>
      </c>
      <c r="I247" s="57">
        <f t="shared" si="84"/>
        <v>0</v>
      </c>
      <c r="J247" s="57">
        <f t="shared" si="84"/>
        <v>0</v>
      </c>
      <c r="K247" s="57">
        <f t="shared" si="84"/>
        <v>0</v>
      </c>
      <c r="L247" s="57">
        <f t="shared" si="84"/>
        <v>0</v>
      </c>
      <c r="M247" s="57">
        <f t="shared" si="84"/>
        <v>0</v>
      </c>
      <c r="N247" s="57">
        <f t="shared" si="84"/>
        <v>-2.35741026699543E-7</v>
      </c>
      <c r="P247" s="57">
        <f t="shared" si="80"/>
        <v>-2.1431002427231182E-8</v>
      </c>
      <c r="Q247" s="57">
        <f t="shared" si="81"/>
        <v>2.1431002427231182E-8</v>
      </c>
    </row>
    <row r="248" spans="1:18" x14ac:dyDescent="0.25">
      <c r="R248" s="9"/>
    </row>
    <row r="249" spans="1:18" x14ac:dyDescent="0.25">
      <c r="L249" s="57"/>
      <c r="R249" s="9"/>
    </row>
  </sheetData>
  <pageMargins left="0.5" right="0.5" top="0.5" bottom="0.45899934383202101" header="0.5" footer="0.5"/>
  <pageSetup scale="60" orientation="landscape" r:id="rId1"/>
  <headerFooter scaleWithDoc="0" alignWithMargins="0"/>
  <rowBreaks count="2" manualBreakCount="2">
    <brk id="47" max="16" man="1"/>
    <brk id="123" max="16" man="1"/>
  </rowBreaks>
  <colBreaks count="1" manualBreakCount="1">
    <brk id="11" max="2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C3F96-9B42-48C3-A8DE-AB40B02C6690}">
  <sheetPr>
    <pageSetUpPr fitToPage="1"/>
  </sheetPr>
  <dimension ref="A1:X303"/>
  <sheetViews>
    <sheetView topLeftCell="A286" zoomScaleNormal="100" workbookViewId="0">
      <selection activeCell="B308" sqref="B308"/>
    </sheetView>
  </sheetViews>
  <sheetFormatPr defaultColWidth="8.7109375" defaultRowHeight="15" x14ac:dyDescent="0.25"/>
  <cols>
    <col min="1" max="1" width="27.28515625" style="59" customWidth="1"/>
    <col min="2" max="2" width="19" style="60" bestFit="1" customWidth="1"/>
    <col min="3" max="3" width="19.140625" style="60" bestFit="1" customWidth="1"/>
    <col min="4" max="5" width="16.85546875" style="60" bestFit="1" customWidth="1"/>
    <col min="6" max="6" width="14.85546875" style="60" bestFit="1" customWidth="1"/>
    <col min="7" max="7" width="24" style="60" bestFit="1" customWidth="1"/>
    <col min="8" max="15" width="8.7109375" style="59"/>
    <col min="16" max="16" width="19" style="60" bestFit="1" customWidth="1"/>
    <col min="17" max="17" width="19.140625" style="60" bestFit="1" customWidth="1"/>
    <col min="18" max="19" width="16.85546875" style="60" bestFit="1" customWidth="1"/>
    <col min="20" max="20" width="14.85546875" style="60" bestFit="1" customWidth="1"/>
    <col min="21" max="21" width="24" style="60" bestFit="1" customWidth="1"/>
    <col min="22" max="22" width="16.7109375" style="58" customWidth="1"/>
    <col min="23" max="23" width="16" style="59" bestFit="1" customWidth="1"/>
    <col min="24" max="24" width="14.28515625" style="59" bestFit="1" customWidth="1"/>
    <col min="25" max="16384" width="8.7109375" style="59"/>
  </cols>
  <sheetData>
    <row r="1" spans="1:23" x14ac:dyDescent="0.25">
      <c r="A1" s="118" t="s">
        <v>211</v>
      </c>
      <c r="D1" s="59"/>
      <c r="E1" s="59"/>
      <c r="F1" s="59"/>
      <c r="G1" s="59"/>
      <c r="P1" s="59"/>
      <c r="Q1" s="59"/>
      <c r="R1" s="59"/>
      <c r="S1" s="59"/>
      <c r="T1" s="59"/>
      <c r="U1" s="59"/>
    </row>
    <row r="2" spans="1:23" x14ac:dyDescent="0.25">
      <c r="A2" s="119" t="s">
        <v>212</v>
      </c>
      <c r="D2" s="59"/>
      <c r="E2" s="59"/>
      <c r="F2" s="59"/>
      <c r="G2" s="59"/>
      <c r="P2" s="59"/>
      <c r="Q2" s="59"/>
      <c r="R2" s="59"/>
      <c r="S2" s="59"/>
      <c r="T2" s="59"/>
      <c r="U2" s="59"/>
    </row>
    <row r="3" spans="1:23" x14ac:dyDescent="0.25">
      <c r="A3" s="120">
        <v>43131</v>
      </c>
      <c r="D3" s="59"/>
      <c r="E3" s="59"/>
      <c r="F3" s="59"/>
      <c r="G3" s="59"/>
      <c r="P3" s="59"/>
      <c r="Q3" s="59"/>
      <c r="R3" s="59"/>
      <c r="S3" s="59"/>
      <c r="T3" s="59"/>
      <c r="U3" s="59"/>
    </row>
    <row r="4" spans="1:23" x14ac:dyDescent="0.25">
      <c r="A4" s="61"/>
      <c r="B4" s="62"/>
      <c r="C4" s="62"/>
      <c r="D4" s="62"/>
      <c r="E4" s="62"/>
      <c r="F4" s="62"/>
      <c r="G4" s="63"/>
      <c r="P4" s="62"/>
      <c r="Q4" s="62"/>
      <c r="R4" s="62"/>
      <c r="S4" s="62"/>
      <c r="T4" s="62"/>
      <c r="U4" s="63"/>
    </row>
    <row r="5" spans="1:23" s="68" customFormat="1" x14ac:dyDescent="0.25">
      <c r="A5" s="64"/>
      <c r="B5" s="65" t="s">
        <v>213</v>
      </c>
      <c r="C5" s="65" t="s">
        <v>214</v>
      </c>
      <c r="D5" s="65" t="s">
        <v>215</v>
      </c>
      <c r="E5" s="65" t="s">
        <v>216</v>
      </c>
      <c r="F5" s="65" t="s">
        <v>217</v>
      </c>
      <c r="G5" s="66" t="s">
        <v>218</v>
      </c>
      <c r="P5" s="65" t="s">
        <v>213</v>
      </c>
      <c r="Q5" s="65" t="s">
        <v>214</v>
      </c>
      <c r="R5" s="65" t="s">
        <v>215</v>
      </c>
      <c r="S5" s="65" t="s">
        <v>216</v>
      </c>
      <c r="T5" s="65" t="s">
        <v>217</v>
      </c>
      <c r="U5" s="66" t="s">
        <v>218</v>
      </c>
      <c r="V5" s="67"/>
    </row>
    <row r="6" spans="1:23" x14ac:dyDescent="0.25">
      <c r="A6" s="64" t="s">
        <v>63</v>
      </c>
      <c r="B6" s="7">
        <v>154563428.67000002</v>
      </c>
      <c r="C6" s="7">
        <v>424529753.21999997</v>
      </c>
      <c r="D6" s="7">
        <v>2884704.37</v>
      </c>
      <c r="E6" s="7">
        <v>3238349</v>
      </c>
      <c r="F6" s="7">
        <v>85825</v>
      </c>
      <c r="G6" s="69">
        <v>585302060.25999999</v>
      </c>
      <c r="P6" s="7">
        <f>'[4]P&amp;L Compare to Hedge 2018'!$B$5</f>
        <v>154563428.67000002</v>
      </c>
      <c r="Q6" s="7">
        <f>'[4]P&amp;L Compare to Hedge 2018'!$B$6</f>
        <v>424529753.21999997</v>
      </c>
      <c r="R6" s="7">
        <f>'[4]P&amp;L Compare to Hedge 2018'!$B$7</f>
        <v>2884704.37</v>
      </c>
      <c r="S6" s="7">
        <f>'[4]P&amp;L Compare to Hedge 2018'!$B$8</f>
        <v>3238349</v>
      </c>
      <c r="T6" s="7">
        <f>'[4]P&amp;L Compare to Hedge 2018'!$B$9</f>
        <v>85825</v>
      </c>
      <c r="U6" s="69">
        <f>SUM(P6:T6)</f>
        <v>585302060.25999999</v>
      </c>
    </row>
    <row r="7" spans="1:23" x14ac:dyDescent="0.25">
      <c r="A7" s="64" t="s">
        <v>219</v>
      </c>
      <c r="B7" s="7">
        <v>157842383.69</v>
      </c>
      <c r="C7" s="7">
        <v>422465521.94999993</v>
      </c>
      <c r="D7" s="7">
        <v>2842624.1900000004</v>
      </c>
      <c r="E7" s="7">
        <v>3972878.5</v>
      </c>
      <c r="F7" s="7">
        <v>103200.43</v>
      </c>
      <c r="G7" s="69">
        <v>587226608.75999987</v>
      </c>
      <c r="P7" s="7">
        <f>'[4]P&amp;L Compare to Hedge 2018'!$B$14</f>
        <v>157842383.69</v>
      </c>
      <c r="Q7" s="7">
        <f>'[4]P&amp;L Compare to Hedge 2018'!$B$15</f>
        <v>422465521.94999993</v>
      </c>
      <c r="R7" s="7">
        <f>'[4]P&amp;L Compare to Hedge 2018'!$B$16</f>
        <v>2842624.1900000004</v>
      </c>
      <c r="S7" s="7">
        <f>'[4]P&amp;L Compare to Hedge 2018'!$B$17</f>
        <v>3972878.5</v>
      </c>
      <c r="T7" s="7">
        <f>'[4]P&amp;L Compare to Hedge 2018'!$B$18</f>
        <v>103200.43</v>
      </c>
      <c r="U7" s="69">
        <f>SUM(P7:T7)</f>
        <v>587226608.75999987</v>
      </c>
    </row>
    <row r="8" spans="1:23" x14ac:dyDescent="0.25">
      <c r="A8" s="64" t="s">
        <v>220</v>
      </c>
      <c r="B8" s="7">
        <v>-4303584.0399999917</v>
      </c>
      <c r="C8" s="7">
        <v>-198311.54999999702</v>
      </c>
      <c r="D8" s="7">
        <v>-28077.910000000033</v>
      </c>
      <c r="E8" s="7">
        <v>-17915.510000000009</v>
      </c>
      <c r="F8" s="7">
        <v>0</v>
      </c>
      <c r="G8" s="69">
        <v>-4547889.0099999886</v>
      </c>
      <c r="P8" s="7">
        <f>'[4]P&amp;L Compare to Hedge 2018'!$B$21</f>
        <v>-4303584.0399999917</v>
      </c>
      <c r="Q8" s="7">
        <f>'[4]P&amp;L Compare to Hedge 2018'!$B$22</f>
        <v>-198311.54999999702</v>
      </c>
      <c r="R8" s="7">
        <f>'[4]P&amp;L Compare to Hedge 2018'!$B$23</f>
        <v>-28077.910000000033</v>
      </c>
      <c r="S8" s="7">
        <f>'[4]P&amp;L Compare to Hedge 2018'!$B$24</f>
        <v>-17915.510000000009</v>
      </c>
      <c r="T8" s="7">
        <f>0</f>
        <v>0</v>
      </c>
      <c r="U8" s="69">
        <f>SUM(P8:T8)</f>
        <v>-4547889.0099999886</v>
      </c>
    </row>
    <row r="9" spans="1:23" x14ac:dyDescent="0.25">
      <c r="A9" s="64" t="s">
        <v>221</v>
      </c>
      <c r="B9" s="7">
        <v>-1451390.0700000077</v>
      </c>
      <c r="C9" s="7">
        <v>287951.64999999851</v>
      </c>
      <c r="D9" s="7">
        <v>0</v>
      </c>
      <c r="E9" s="7">
        <v>0</v>
      </c>
      <c r="F9" s="7">
        <v>0</v>
      </c>
      <c r="G9" s="69">
        <v>-1163438.4200000092</v>
      </c>
      <c r="P9" s="7">
        <f>'[4]P&amp;L Compare to Hedge 2018'!$B$26</f>
        <v>-1451390.0700000077</v>
      </c>
      <c r="Q9" s="7">
        <f>'[4]P&amp;L Compare to Hedge 2018'!$B$27</f>
        <v>287951.64999999851</v>
      </c>
      <c r="R9" s="7">
        <f>'[4]P&amp;L Compare to Hedge 2018'!$B$28</f>
        <v>0</v>
      </c>
      <c r="S9" s="7">
        <f>'[4]P&amp;L Compare to Hedge 2018'!$B$29</f>
        <v>0</v>
      </c>
      <c r="T9" s="7">
        <v>0</v>
      </c>
      <c r="U9" s="69">
        <f>SUM(P9:T9)</f>
        <v>-1163438.4200000092</v>
      </c>
    </row>
    <row r="10" spans="1:23" ht="15.75" thickBot="1" x14ac:dyDescent="0.3">
      <c r="A10" s="64" t="s">
        <v>222</v>
      </c>
      <c r="B10" s="7">
        <v>2094840.4523199946</v>
      </c>
      <c r="C10" s="7">
        <v>1671312.9767381023</v>
      </c>
      <c r="D10" s="7">
        <v>53210.820259999891</v>
      </c>
      <c r="E10" s="7">
        <v>-759397.27174999984</v>
      </c>
      <c r="F10" s="7">
        <v>-20088.849999999991</v>
      </c>
      <c r="G10" s="69">
        <v>3039878.1275680969</v>
      </c>
      <c r="P10" s="7">
        <f>'[5]Mrkg to Mkt Gold'!$E$28</f>
        <v>2094840.4523199946</v>
      </c>
      <c r="Q10" s="7">
        <f>'[5]Mkg to Mkt Silver'!$E$28</f>
        <v>1671312.9767381023</v>
      </c>
      <c r="R10" s="7">
        <f>'[5]Mkg to Mkt Platinum  '!$E$28</f>
        <v>53210.820259999891</v>
      </c>
      <c r="S10" s="7">
        <f>'[5]Mkg to Mkt Palladium'!$E$28</f>
        <v>-759397.27174999984</v>
      </c>
      <c r="T10" s="7">
        <f>'[5]Mkg to Mkt Rhodium'!$E$28</f>
        <v>-20088.849999999991</v>
      </c>
      <c r="U10" s="69">
        <f>SUM(P10:T10)</f>
        <v>3039878.1275680969</v>
      </c>
      <c r="V10" s="70">
        <f>'[5]Mkg to Mkt All'!$E$39-U10</f>
        <v>0</v>
      </c>
      <c r="W10" s="71" t="s">
        <v>223</v>
      </c>
    </row>
    <row r="11" spans="1:23" ht="15.75" thickBot="1" x14ac:dyDescent="0.3">
      <c r="A11" s="64" t="s">
        <v>224</v>
      </c>
      <c r="B11" s="72"/>
      <c r="C11" s="72"/>
      <c r="D11" s="72"/>
      <c r="E11" s="72"/>
      <c r="F11" s="72"/>
      <c r="G11" s="73">
        <v>2682.05</v>
      </c>
      <c r="P11" s="72"/>
      <c r="Q11" s="72"/>
      <c r="R11" s="72"/>
      <c r="S11" s="72"/>
      <c r="T11" s="72"/>
      <c r="U11" s="73">
        <v>2682.05</v>
      </c>
    </row>
    <row r="12" spans="1:23" ht="15.75" thickBot="1" x14ac:dyDescent="0.3">
      <c r="A12" s="64"/>
      <c r="B12" s="74">
        <v>381178.63768002391</v>
      </c>
      <c r="C12" s="75">
        <v>303278.19326193677</v>
      </c>
      <c r="D12" s="75">
        <v>16947.269739999843</v>
      </c>
      <c r="E12" s="75">
        <v>42783.281749999849</v>
      </c>
      <c r="F12" s="75">
        <v>2713.4199999999983</v>
      </c>
      <c r="G12" s="76">
        <v>744218.75243202015</v>
      </c>
      <c r="P12" s="74">
        <f>+P6-P7-P8-P9-P10</f>
        <v>381178.63768002391</v>
      </c>
      <c r="Q12" s="75">
        <f>+Q6-Q7-Q8-Q9-Q10</f>
        <v>303278.19326193677</v>
      </c>
      <c r="R12" s="75">
        <f>+R6-R7-R8-R9-R10</f>
        <v>16947.269739999843</v>
      </c>
      <c r="S12" s="75">
        <f>+S6-S7-S8-S9-S10</f>
        <v>42783.281749999849</v>
      </c>
      <c r="T12" s="75">
        <f>+T6-T7-T8-T9-T10</f>
        <v>2713.4199999999983</v>
      </c>
      <c r="U12" s="76">
        <f>+U6-U7-U8-U9-U10-U11</f>
        <v>744218.75243202015</v>
      </c>
    </row>
    <row r="13" spans="1:23" ht="15.75" thickTop="1" x14ac:dyDescent="0.25">
      <c r="A13" s="64"/>
      <c r="B13" s="77"/>
      <c r="C13" s="77"/>
      <c r="D13" s="77"/>
      <c r="E13" s="77"/>
      <c r="F13" s="77"/>
      <c r="G13" s="78"/>
      <c r="P13" s="77"/>
      <c r="Q13" s="77"/>
      <c r="R13" s="77"/>
      <c r="S13" s="77"/>
      <c r="T13" s="77"/>
      <c r="U13" s="78"/>
    </row>
    <row r="14" spans="1:23" x14ac:dyDescent="0.25">
      <c r="A14" s="64" t="s">
        <v>225</v>
      </c>
      <c r="B14" s="7">
        <v>459437.98398514051</v>
      </c>
      <c r="C14" s="7">
        <v>365257.53999999905</v>
      </c>
      <c r="D14" s="7">
        <v>21090.145499999966</v>
      </c>
      <c r="E14" s="7">
        <v>37097.844600000004</v>
      </c>
      <c r="F14" s="7">
        <v>3045</v>
      </c>
      <c r="G14" s="69">
        <v>885928.5140851395</v>
      </c>
      <c r="P14" s="7">
        <f>'[1]Comparison 2017-2018'!$B$30</f>
        <v>459437.98398514051</v>
      </c>
      <c r="Q14" s="7">
        <f>'[1]Comparison 2017-2018'!$C$30</f>
        <v>365257.53999999905</v>
      </c>
      <c r="R14" s="7">
        <f>'[1]Comparison 2017-2018'!$D$30</f>
        <v>21090.145499999966</v>
      </c>
      <c r="S14" s="7">
        <f>'[1]Comparison 2017-2018'!$E$30</f>
        <v>37097.844600000004</v>
      </c>
      <c r="T14" s="7">
        <f>'[1]Comparison 2017-2018'!$F$30</f>
        <v>3045</v>
      </c>
      <c r="U14" s="69">
        <f t="shared" ref="U14:U20" si="0">SUM(P14:T14)</f>
        <v>885928.5140851395</v>
      </c>
    </row>
    <row r="15" spans="1:23" x14ac:dyDescent="0.25">
      <c r="A15" s="64" t="s">
        <v>226</v>
      </c>
      <c r="B15" s="7">
        <v>11347.91</v>
      </c>
      <c r="C15" s="7">
        <v>1307.73</v>
      </c>
      <c r="D15" s="7">
        <v>0</v>
      </c>
      <c r="E15" s="7">
        <v>0</v>
      </c>
      <c r="F15" s="7">
        <v>0</v>
      </c>
      <c r="G15" s="69">
        <v>12655.64</v>
      </c>
      <c r="P15" s="7">
        <v>11347.91</v>
      </c>
      <c r="Q15" s="7">
        <v>1307.73</v>
      </c>
      <c r="R15" s="7">
        <v>0</v>
      </c>
      <c r="S15" s="7">
        <v>0</v>
      </c>
      <c r="T15" s="7">
        <v>0</v>
      </c>
      <c r="U15" s="69">
        <f t="shared" si="0"/>
        <v>12655.64</v>
      </c>
    </row>
    <row r="16" spans="1:23" x14ac:dyDescent="0.25">
      <c r="A16" s="64" t="s">
        <v>227</v>
      </c>
      <c r="B16" s="7">
        <v>20228.97</v>
      </c>
      <c r="C16" s="7">
        <v>31705.259999999995</v>
      </c>
      <c r="D16" s="7">
        <v>0</v>
      </c>
      <c r="E16" s="7">
        <v>0</v>
      </c>
      <c r="F16" s="7">
        <v>0</v>
      </c>
      <c r="G16" s="69">
        <v>51934.229999999996</v>
      </c>
      <c r="P16" s="7">
        <f>[2]Jan!$B$10</f>
        <v>20228.97</v>
      </c>
      <c r="Q16" s="7">
        <f>[2]Jan!$B$20</f>
        <v>31705.259999999995</v>
      </c>
      <c r="R16" s="7">
        <f>[2]Jan!$B$26</f>
        <v>0</v>
      </c>
      <c r="S16" s="7">
        <v>0</v>
      </c>
      <c r="T16" s="7">
        <v>0</v>
      </c>
      <c r="U16" s="69">
        <f t="shared" si="0"/>
        <v>51934.229999999996</v>
      </c>
    </row>
    <row r="17" spans="1:24" x14ac:dyDescent="0.25">
      <c r="A17" s="64" t="s">
        <v>228</v>
      </c>
      <c r="B17" s="7">
        <v>-11152</v>
      </c>
      <c r="C17" s="7">
        <v>-36907.01</v>
      </c>
      <c r="D17" s="7">
        <v>0</v>
      </c>
      <c r="E17" s="7">
        <v>0</v>
      </c>
      <c r="F17" s="7">
        <v>0</v>
      </c>
      <c r="G17" s="69">
        <v>-48059.01</v>
      </c>
      <c r="P17" s="7">
        <f>-11152</f>
        <v>-11152</v>
      </c>
      <c r="Q17" s="7">
        <f>-36907.01</f>
        <v>-36907.01</v>
      </c>
      <c r="R17" s="7">
        <v>0</v>
      </c>
      <c r="S17" s="7">
        <v>0</v>
      </c>
      <c r="T17" s="7">
        <v>0</v>
      </c>
      <c r="U17" s="69">
        <f t="shared" si="0"/>
        <v>-48059.01</v>
      </c>
    </row>
    <row r="18" spans="1:24" x14ac:dyDescent="0.25">
      <c r="A18" s="64" t="s">
        <v>229</v>
      </c>
      <c r="B18" s="7">
        <v>-51657.33</v>
      </c>
      <c r="C18" s="7">
        <v>-70861</v>
      </c>
      <c r="D18" s="7">
        <v>0</v>
      </c>
      <c r="E18" s="7">
        <v>0</v>
      </c>
      <c r="F18" s="7">
        <v>0</v>
      </c>
      <c r="G18" s="69">
        <v>-122518.33</v>
      </c>
      <c r="P18" s="7">
        <v>-51657.33</v>
      </c>
      <c r="Q18" s="7">
        <v>-70861</v>
      </c>
      <c r="R18" s="7">
        <v>0</v>
      </c>
      <c r="S18" s="7">
        <v>0</v>
      </c>
      <c r="T18" s="7">
        <v>0</v>
      </c>
      <c r="U18" s="69">
        <f t="shared" si="0"/>
        <v>-122518.33</v>
      </c>
    </row>
    <row r="19" spans="1:24" x14ac:dyDescent="0.25">
      <c r="A19" s="64" t="s">
        <v>230</v>
      </c>
      <c r="B19" s="7">
        <v>-129582</v>
      </c>
      <c r="C19" s="7"/>
      <c r="D19" s="7"/>
      <c r="E19" s="7">
        <v>0</v>
      </c>
      <c r="F19" s="7">
        <v>0</v>
      </c>
      <c r="G19" s="69">
        <v>-129582</v>
      </c>
      <c r="P19" s="7">
        <v>-129582</v>
      </c>
      <c r="Q19" s="7"/>
      <c r="R19" s="7"/>
      <c r="S19" s="7">
        <v>0</v>
      </c>
      <c r="T19" s="7">
        <v>0</v>
      </c>
      <c r="U19" s="69">
        <f t="shared" si="0"/>
        <v>-129582</v>
      </c>
    </row>
    <row r="20" spans="1:24" x14ac:dyDescent="0.25">
      <c r="A20" s="64" t="s">
        <v>37</v>
      </c>
      <c r="B20" s="7">
        <v>-18000</v>
      </c>
      <c r="C20" s="7">
        <v>-17000</v>
      </c>
      <c r="D20" s="7">
        <v>0</v>
      </c>
      <c r="E20" s="7">
        <v>0</v>
      </c>
      <c r="F20" s="7">
        <v>0</v>
      </c>
      <c r="G20" s="69">
        <v>-35000</v>
      </c>
      <c r="P20" s="7">
        <v>-18000</v>
      </c>
      <c r="Q20" s="7">
        <v>-17000</v>
      </c>
      <c r="R20" s="7">
        <v>0</v>
      </c>
      <c r="S20" s="7">
        <v>0</v>
      </c>
      <c r="T20" s="7">
        <v>0</v>
      </c>
      <c r="U20" s="69">
        <f t="shared" si="0"/>
        <v>-35000</v>
      </c>
    </row>
    <row r="21" spans="1:24" x14ac:dyDescent="0.25">
      <c r="A21" s="64"/>
      <c r="B21" s="7"/>
      <c r="C21" s="7"/>
      <c r="D21" s="7"/>
      <c r="E21" s="7"/>
      <c r="F21" s="7"/>
      <c r="G21" s="69"/>
      <c r="P21" s="7"/>
      <c r="Q21" s="7"/>
      <c r="R21" s="7"/>
      <c r="S21" s="7"/>
      <c r="T21" s="7"/>
      <c r="U21" s="69"/>
    </row>
    <row r="22" spans="1:24" x14ac:dyDescent="0.25">
      <c r="A22" s="64" t="s">
        <v>223</v>
      </c>
      <c r="B22" s="7">
        <v>100555.10369488347</v>
      </c>
      <c r="C22" s="7">
        <v>29775.673261937744</v>
      </c>
      <c r="D22" s="7">
        <v>-4142.8757600001227</v>
      </c>
      <c r="E22" s="7">
        <v>5685.4371499998451</v>
      </c>
      <c r="F22" s="7">
        <v>-331.58000000000175</v>
      </c>
      <c r="G22" s="69">
        <v>128859.70834688062</v>
      </c>
      <c r="P22" s="7">
        <f>+P12-SUM(P14:P20)</f>
        <v>100555.10369488347</v>
      </c>
      <c r="Q22" s="7">
        <f t="shared" ref="Q22:T22" si="1">+Q12-SUM(Q14:Q20)</f>
        <v>29775.673261937744</v>
      </c>
      <c r="R22" s="7">
        <f t="shared" si="1"/>
        <v>-4142.8757600001227</v>
      </c>
      <c r="S22" s="7">
        <f t="shared" si="1"/>
        <v>5685.4371499998451</v>
      </c>
      <c r="T22" s="7">
        <f t="shared" si="1"/>
        <v>-331.58000000000175</v>
      </c>
      <c r="U22" s="69">
        <f>+U12-SUM(U14:U20)</f>
        <v>128859.70834688062</v>
      </c>
      <c r="V22" s="79">
        <f>SUM(P22:T22)-U11</f>
        <v>128859.70834682095</v>
      </c>
      <c r="W22" s="80">
        <f>U22-V22</f>
        <v>5.9677404351532459E-8</v>
      </c>
      <c r="X22" s="81" t="s">
        <v>231</v>
      </c>
    </row>
    <row r="23" spans="1:24" ht="15.75" thickBot="1" x14ac:dyDescent="0.3">
      <c r="A23" s="82" t="s">
        <v>232</v>
      </c>
      <c r="B23" s="7">
        <v>1339</v>
      </c>
      <c r="C23" s="7">
        <v>17.204000000000001</v>
      </c>
      <c r="D23" s="7">
        <v>1001.3</v>
      </c>
      <c r="E23" s="7">
        <v>1027.5</v>
      </c>
      <c r="F23" s="7">
        <v>1650</v>
      </c>
      <c r="G23" s="69"/>
      <c r="P23" s="7">
        <v>1339</v>
      </c>
      <c r="Q23" s="7">
        <v>17.204000000000001</v>
      </c>
      <c r="R23" s="7">
        <v>1001.3</v>
      </c>
      <c r="S23" s="7">
        <v>1027.5</v>
      </c>
      <c r="T23" s="7">
        <v>1650</v>
      </c>
      <c r="U23" s="69"/>
      <c r="V23" s="79">
        <f>'[4]P&amp;L Compare to Hedge 2018'!$B$45</f>
        <v>128859.70591497957</v>
      </c>
      <c r="W23" s="80">
        <f>U22-V23</f>
        <v>2.4319010553881526E-3</v>
      </c>
      <c r="X23" s="59" t="s">
        <v>233</v>
      </c>
    </row>
    <row r="24" spans="1:24" x14ac:dyDescent="0.25">
      <c r="A24" s="118" t="s">
        <v>211</v>
      </c>
      <c r="D24" s="59"/>
      <c r="E24" s="59"/>
      <c r="F24" s="59"/>
      <c r="G24" s="59"/>
      <c r="P24" s="59"/>
      <c r="Q24" s="59"/>
      <c r="R24" s="59"/>
      <c r="S24" s="59"/>
      <c r="T24" s="59"/>
      <c r="U24" s="59"/>
    </row>
    <row r="25" spans="1:24" x14ac:dyDescent="0.25">
      <c r="A25" s="119" t="s">
        <v>212</v>
      </c>
      <c r="D25" s="59"/>
      <c r="E25" s="59"/>
      <c r="F25" s="59"/>
      <c r="G25" s="59"/>
      <c r="P25" s="59"/>
      <c r="Q25" s="59"/>
      <c r="R25" s="59"/>
      <c r="S25" s="59"/>
      <c r="T25" s="59"/>
      <c r="U25" s="59"/>
    </row>
    <row r="26" spans="1:24" x14ac:dyDescent="0.25">
      <c r="A26" s="120">
        <v>43159</v>
      </c>
      <c r="D26" s="59"/>
      <c r="E26" s="59"/>
      <c r="F26" s="59"/>
      <c r="G26" s="59"/>
      <c r="P26" s="59"/>
      <c r="Q26" s="59"/>
      <c r="R26" s="59"/>
      <c r="S26" s="59"/>
      <c r="T26" s="59"/>
      <c r="U26" s="59"/>
    </row>
    <row r="27" spans="1:24" x14ac:dyDescent="0.25">
      <c r="A27" s="61"/>
      <c r="B27" s="62"/>
      <c r="C27" s="62"/>
      <c r="D27" s="62"/>
      <c r="E27" s="62"/>
      <c r="F27" s="62"/>
      <c r="G27" s="63"/>
      <c r="P27" s="62"/>
      <c r="Q27" s="62"/>
      <c r="R27" s="62"/>
      <c r="S27" s="62"/>
      <c r="T27" s="62"/>
      <c r="U27" s="63"/>
    </row>
    <row r="28" spans="1:24" s="68" customFormat="1" x14ac:dyDescent="0.25">
      <c r="A28" s="64"/>
      <c r="B28" s="65" t="s">
        <v>213</v>
      </c>
      <c r="C28" s="65" t="s">
        <v>214</v>
      </c>
      <c r="D28" s="65" t="s">
        <v>215</v>
      </c>
      <c r="E28" s="65" t="s">
        <v>216</v>
      </c>
      <c r="F28" s="65" t="s">
        <v>217</v>
      </c>
      <c r="G28" s="66" t="s">
        <v>218</v>
      </c>
      <c r="P28" s="65" t="s">
        <v>213</v>
      </c>
      <c r="Q28" s="65" t="s">
        <v>214</v>
      </c>
      <c r="R28" s="65" t="s">
        <v>215</v>
      </c>
      <c r="S28" s="65" t="s">
        <v>216</v>
      </c>
      <c r="T28" s="65" t="s">
        <v>217</v>
      </c>
      <c r="U28" s="66" t="s">
        <v>218</v>
      </c>
      <c r="V28" s="67"/>
    </row>
    <row r="29" spans="1:24" x14ac:dyDescent="0.25">
      <c r="A29" s="64" t="s">
        <v>63</v>
      </c>
      <c r="B29" s="7">
        <v>109601727.78999999</v>
      </c>
      <c r="C29" s="7">
        <v>1212317398.3500001</v>
      </c>
      <c r="D29" s="7">
        <v>2596535.7200000002</v>
      </c>
      <c r="E29" s="7">
        <v>1478660.42</v>
      </c>
      <c r="F29" s="7">
        <v>579872.5</v>
      </c>
      <c r="G29" s="69">
        <v>1326574194.7800002</v>
      </c>
      <c r="P29" s="7">
        <f>'[4]P&amp;L Compare to Hedge 2018'!$C$5</f>
        <v>109601727.78999999</v>
      </c>
      <c r="Q29" s="7">
        <f>'[4]P&amp;L Compare to Hedge 2018'!$C$6</f>
        <v>1212317398.3500001</v>
      </c>
      <c r="R29" s="7">
        <f>'[4]P&amp;L Compare to Hedge 2018'!$C$7</f>
        <v>2596535.7200000002</v>
      </c>
      <c r="S29" s="7">
        <f>'[4]P&amp;L Compare to Hedge 2018'!$C$8</f>
        <v>1478660.42</v>
      </c>
      <c r="T29" s="7">
        <f>'[4]P&amp;L Compare to Hedge 2018'!$C$9</f>
        <v>579872.5</v>
      </c>
      <c r="U29" s="69">
        <f>SUM(P29:T29)</f>
        <v>1326574194.7800002</v>
      </c>
    </row>
    <row r="30" spans="1:24" x14ac:dyDescent="0.25">
      <c r="A30" s="64" t="s">
        <v>219</v>
      </c>
      <c r="B30" s="7">
        <v>108846154.46000001</v>
      </c>
      <c r="C30" s="7">
        <v>1215546261.6300001</v>
      </c>
      <c r="D30" s="7">
        <v>2535222.7399999998</v>
      </c>
      <c r="E30" s="7">
        <v>1516251.86</v>
      </c>
      <c r="F30" s="7">
        <v>557565.63</v>
      </c>
      <c r="G30" s="69">
        <v>1329001456.3200002</v>
      </c>
      <c r="P30" s="7">
        <f>'[4]P&amp;L Compare to Hedge 2018'!$C$14</f>
        <v>108846154.46000001</v>
      </c>
      <c r="Q30" s="7">
        <f>'[4]P&amp;L Compare to Hedge 2018'!$C$15</f>
        <v>1215546261.6300001</v>
      </c>
      <c r="R30" s="7">
        <f>'[4]P&amp;L Compare to Hedge 2018'!$C$16</f>
        <v>2535222.7399999998</v>
      </c>
      <c r="S30" s="7">
        <f>'[4]P&amp;L Compare to Hedge 2018'!$C$17</f>
        <v>1516251.86</v>
      </c>
      <c r="T30" s="7">
        <f>'[4]P&amp;L Compare to Hedge 2018'!$C$18</f>
        <v>557565.63</v>
      </c>
      <c r="U30" s="69">
        <f>SUM(P30:T30)</f>
        <v>1329001456.3200002</v>
      </c>
    </row>
    <row r="31" spans="1:24" x14ac:dyDescent="0.25">
      <c r="A31" s="64" t="s">
        <v>220</v>
      </c>
      <c r="B31" s="7">
        <v>-230168.78000000119</v>
      </c>
      <c r="C31" s="7">
        <v>-141071.81000000052</v>
      </c>
      <c r="D31" s="7">
        <v>-41342.620000000112</v>
      </c>
      <c r="E31" s="7">
        <v>0</v>
      </c>
      <c r="F31" s="7">
        <v>0</v>
      </c>
      <c r="G31" s="69">
        <v>-412583.21000000183</v>
      </c>
      <c r="P31" s="7">
        <f>'[4]P&amp;L Compare to Hedge 2018'!$C$21</f>
        <v>-230168.78000000119</v>
      </c>
      <c r="Q31" s="7">
        <f>'[4]P&amp;L Compare to Hedge 2018'!$C$22</f>
        <v>-141071.81000000052</v>
      </c>
      <c r="R31" s="7">
        <f>'[4]P&amp;L Compare to Hedge 2018'!$C$23</f>
        <v>-41342.620000000112</v>
      </c>
      <c r="S31" s="7">
        <f>'[4]P&amp;L Compare to Hedge 2018'!$C$24</f>
        <v>0</v>
      </c>
      <c r="T31" s="7">
        <v>0</v>
      </c>
      <c r="U31" s="69">
        <f>SUM(P31:T31)</f>
        <v>-412583.21000000183</v>
      </c>
    </row>
    <row r="32" spans="1:24" x14ac:dyDescent="0.25">
      <c r="A32" s="64" t="s">
        <v>221</v>
      </c>
      <c r="B32" s="7">
        <v>-14017.5</v>
      </c>
      <c r="C32" s="7">
        <v>-4461877.3100000024</v>
      </c>
      <c r="D32" s="7">
        <v>4535</v>
      </c>
      <c r="E32" s="7">
        <v>0</v>
      </c>
      <c r="F32" s="12">
        <v>0</v>
      </c>
      <c r="G32" s="69">
        <v>-4471359.8100000024</v>
      </c>
      <c r="P32" s="7">
        <f>'[4]P&amp;L Compare to Hedge 2018'!$C$26</f>
        <v>-14017.5</v>
      </c>
      <c r="Q32" s="7">
        <f>'[4]P&amp;L Compare to Hedge 2018'!$C$27</f>
        <v>-4461877.3100000024</v>
      </c>
      <c r="R32" s="7">
        <f>'[4]P&amp;L Compare to Hedge 2018'!$C$28</f>
        <v>4535</v>
      </c>
      <c r="S32" s="7">
        <f>'[4]P&amp;L Compare to Hedge 2018'!$C$29</f>
        <v>0</v>
      </c>
      <c r="T32" s="12">
        <v>0</v>
      </c>
      <c r="U32" s="69">
        <f>SUM(P32:T32)</f>
        <v>-4471359.8100000024</v>
      </c>
    </row>
    <row r="33" spans="1:24" ht="15.75" thickBot="1" x14ac:dyDescent="0.3">
      <c r="A33" s="64" t="s">
        <v>222</v>
      </c>
      <c r="B33" s="7">
        <v>607654.88740001619</v>
      </c>
      <c r="C33" s="7">
        <v>1036939.8168504873</v>
      </c>
      <c r="D33" s="7">
        <v>54597.568599999649</v>
      </c>
      <c r="E33" s="7">
        <v>-56319.259040000208</v>
      </c>
      <c r="F33" s="7">
        <v>8290.3699999999953</v>
      </c>
      <c r="G33" s="83">
        <v>1651163.3838105029</v>
      </c>
      <c r="P33" s="7">
        <f>'[6]Mrkg to Mkt Gold'!$E$28</f>
        <v>607654.88740001619</v>
      </c>
      <c r="Q33" s="7">
        <f>'[6]Mkg to Mkt Silver'!$E$28</f>
        <v>1036939.8168504873</v>
      </c>
      <c r="R33" s="7">
        <f>'[6]Mkg to Mkt Platinum  '!$E$28</f>
        <v>54597.568599999649</v>
      </c>
      <c r="S33" s="7">
        <f>'[6]Mkg to Mkt Palladium'!$E$28</f>
        <v>-56319.259040000208</v>
      </c>
      <c r="T33" s="7">
        <f>'[6]Mkg to Mkt Rhodium'!$E$28</f>
        <v>8290.3699999999953</v>
      </c>
      <c r="U33" s="83">
        <f>SUM(P33:T33)</f>
        <v>1651163.3838105029</v>
      </c>
    </row>
    <row r="34" spans="1:24" ht="15.75" thickBot="1" x14ac:dyDescent="0.3">
      <c r="A34" s="64" t="s">
        <v>224</v>
      </c>
      <c r="B34" s="84"/>
      <c r="C34" s="84"/>
      <c r="D34" s="84"/>
      <c r="E34" s="84"/>
      <c r="F34" s="84"/>
      <c r="G34" s="85">
        <v>-1617.38</v>
      </c>
      <c r="P34" s="84"/>
      <c r="Q34" s="84"/>
      <c r="R34" s="84"/>
      <c r="S34" s="84"/>
      <c r="T34" s="84"/>
      <c r="U34" s="85">
        <v>-1617.38</v>
      </c>
    </row>
    <row r="35" spans="1:24" ht="15.75" thickBot="1" x14ac:dyDescent="0.3">
      <c r="A35" s="64"/>
      <c r="B35" s="86">
        <v>392104.72259996831</v>
      </c>
      <c r="C35" s="86">
        <v>337146.02314954426</v>
      </c>
      <c r="D35" s="86">
        <v>43523.031400000909</v>
      </c>
      <c r="E35" s="86">
        <v>18727.819040000031</v>
      </c>
      <c r="F35" s="86">
        <v>14016.5</v>
      </c>
      <c r="G35" s="76">
        <v>807135.47618953942</v>
      </c>
      <c r="P35" s="86">
        <f>+P29-P30-P31-P32-P33</f>
        <v>392104.72259996831</v>
      </c>
      <c r="Q35" s="86">
        <f>+Q29-Q30-Q31-Q32-Q33</f>
        <v>337146.02314954426</v>
      </c>
      <c r="R35" s="86">
        <f>+R29-R30-R31-R32-R33</f>
        <v>43523.031400000909</v>
      </c>
      <c r="S35" s="86">
        <f>+S29-S30-S31-S32-S33</f>
        <v>18727.819040000031</v>
      </c>
      <c r="T35" s="86">
        <f>+T29-T30-T31-T32-T33</f>
        <v>14016.5</v>
      </c>
      <c r="U35" s="76">
        <f>+U29-U30-U31-U32-U33-U34</f>
        <v>807135.47618953942</v>
      </c>
    </row>
    <row r="36" spans="1:24" ht="15.75" thickTop="1" x14ac:dyDescent="0.25">
      <c r="A36" s="64"/>
      <c r="B36" s="87"/>
      <c r="C36" s="87"/>
      <c r="D36" s="87"/>
      <c r="E36" s="87"/>
      <c r="F36" s="87"/>
      <c r="G36" s="69"/>
      <c r="P36" s="87"/>
      <c r="Q36" s="87"/>
      <c r="R36" s="87"/>
      <c r="S36" s="87"/>
      <c r="T36" s="87"/>
      <c r="U36" s="69"/>
    </row>
    <row r="37" spans="1:24" x14ac:dyDescent="0.25">
      <c r="A37" s="64" t="s">
        <v>225</v>
      </c>
      <c r="B37" s="7">
        <v>301276.599516891</v>
      </c>
      <c r="C37" s="7">
        <v>314838.27600001462</v>
      </c>
      <c r="D37" s="7">
        <v>40496.840099999994</v>
      </c>
      <c r="E37" s="7">
        <v>14645.328399999986</v>
      </c>
      <c r="F37" s="7">
        <v>10671.25</v>
      </c>
      <c r="G37" s="69">
        <v>681928.29401690571</v>
      </c>
      <c r="P37" s="7">
        <f>'[1]Comparison 2017-2018'!$B$54</f>
        <v>301276.599516891</v>
      </c>
      <c r="Q37" s="7">
        <f>'[1]Comparison 2017-2018'!$C$54</f>
        <v>314838.27600001462</v>
      </c>
      <c r="R37" s="7">
        <f>'[1]Comparison 2017-2018'!$D$54</f>
        <v>40496.840099999994</v>
      </c>
      <c r="S37" s="7">
        <f>'[1]Comparison 2017-2018'!$E$54</f>
        <v>14645.328399999986</v>
      </c>
      <c r="T37" s="7">
        <f>'[1]Comparison 2017-2018'!$F$54</f>
        <v>10671.25</v>
      </c>
      <c r="U37" s="69">
        <f t="shared" ref="U37:U43" si="2">SUM(P37:T37)</f>
        <v>681928.29401690571</v>
      </c>
    </row>
    <row r="38" spans="1:24" x14ac:dyDescent="0.25">
      <c r="A38" s="64" t="s">
        <v>226</v>
      </c>
      <c r="B38" s="7">
        <v>2264.54</v>
      </c>
      <c r="C38" s="7">
        <v>222.6</v>
      </c>
      <c r="D38" s="7">
        <v>0</v>
      </c>
      <c r="E38" s="7">
        <v>0</v>
      </c>
      <c r="F38" s="7">
        <v>0</v>
      </c>
      <c r="G38" s="69">
        <v>2487.14</v>
      </c>
      <c r="P38" s="7">
        <v>2264.54</v>
      </c>
      <c r="Q38" s="7">
        <v>222.6</v>
      </c>
      <c r="R38" s="7">
        <v>0</v>
      </c>
      <c r="S38" s="7">
        <v>0</v>
      </c>
      <c r="T38" s="7">
        <v>0</v>
      </c>
      <c r="U38" s="69">
        <f t="shared" si="2"/>
        <v>2487.14</v>
      </c>
    </row>
    <row r="39" spans="1:24" x14ac:dyDescent="0.25">
      <c r="A39" s="64" t="s">
        <v>227</v>
      </c>
      <c r="B39" s="7">
        <v>23083.65</v>
      </c>
      <c r="C39" s="7">
        <v>3212.99</v>
      </c>
      <c r="D39" s="7">
        <v>9893.18</v>
      </c>
      <c r="E39" s="7">
        <v>0</v>
      </c>
      <c r="F39" s="7">
        <v>0</v>
      </c>
      <c r="G39" s="69">
        <v>36189.82</v>
      </c>
      <c r="P39" s="7">
        <f>[2]Feb!$B$10</f>
        <v>23083.65</v>
      </c>
      <c r="Q39" s="7">
        <f>[2]Feb!$B$20</f>
        <v>3212.99</v>
      </c>
      <c r="R39" s="7">
        <f>[2]Feb!$B$26</f>
        <v>9893.18</v>
      </c>
      <c r="S39" s="7">
        <v>0</v>
      </c>
      <c r="T39" s="7">
        <v>0</v>
      </c>
      <c r="U39" s="69">
        <f t="shared" si="2"/>
        <v>36189.82</v>
      </c>
    </row>
    <row r="40" spans="1:24" x14ac:dyDescent="0.25">
      <c r="A40" s="64" t="s">
        <v>228</v>
      </c>
      <c r="B40" s="7">
        <v>-4530.13</v>
      </c>
      <c r="C40" s="7">
        <v>-104404.39</v>
      </c>
      <c r="D40" s="7">
        <v>0</v>
      </c>
      <c r="E40" s="7">
        <v>0</v>
      </c>
      <c r="F40" s="7">
        <v>0</v>
      </c>
      <c r="G40" s="69">
        <v>-108934.52</v>
      </c>
      <c r="P40" s="7">
        <v>-4530.13</v>
      </c>
      <c r="Q40" s="7">
        <v>-104404.39</v>
      </c>
      <c r="R40" s="7">
        <v>0</v>
      </c>
      <c r="S40" s="7">
        <v>0</v>
      </c>
      <c r="T40" s="7">
        <v>0</v>
      </c>
      <c r="U40" s="69">
        <f t="shared" si="2"/>
        <v>-108934.52</v>
      </c>
    </row>
    <row r="41" spans="1:24" x14ac:dyDescent="0.25">
      <c r="A41" s="64" t="s">
        <v>229</v>
      </c>
      <c r="B41" s="7">
        <v>8840</v>
      </c>
      <c r="C41" s="7">
        <v>42577</v>
      </c>
      <c r="D41" s="7"/>
      <c r="E41" s="7"/>
      <c r="F41" s="7"/>
      <c r="G41" s="69">
        <v>51417</v>
      </c>
      <c r="P41" s="7">
        <v>8840</v>
      </c>
      <c r="Q41" s="7">
        <v>42577</v>
      </c>
      <c r="R41" s="7"/>
      <c r="S41" s="7"/>
      <c r="T41" s="7"/>
      <c r="U41" s="69">
        <f t="shared" si="2"/>
        <v>51417</v>
      </c>
    </row>
    <row r="42" spans="1:24" x14ac:dyDescent="0.25">
      <c r="A42" s="64" t="s">
        <v>230</v>
      </c>
      <c r="B42" s="7">
        <v>0</v>
      </c>
      <c r="C42" s="7">
        <v>0</v>
      </c>
      <c r="D42" s="7"/>
      <c r="E42" s="7"/>
      <c r="F42" s="7"/>
      <c r="G42" s="69">
        <v>0</v>
      </c>
      <c r="P42" s="7">
        <v>0</v>
      </c>
      <c r="Q42" s="7">
        <v>0</v>
      </c>
      <c r="R42" s="7"/>
      <c r="S42" s="7"/>
      <c r="T42" s="7"/>
      <c r="U42" s="69">
        <f t="shared" si="2"/>
        <v>0</v>
      </c>
    </row>
    <row r="43" spans="1:24" x14ac:dyDescent="0.25">
      <c r="A43" s="64" t="s">
        <v>37</v>
      </c>
      <c r="B43" s="7">
        <v>-18000</v>
      </c>
      <c r="C43" s="7">
        <v>-17000</v>
      </c>
      <c r="D43" s="7"/>
      <c r="E43" s="7"/>
      <c r="F43" s="7"/>
      <c r="G43" s="69">
        <v>-35000</v>
      </c>
      <c r="P43" s="7">
        <v>-18000</v>
      </c>
      <c r="Q43" s="7">
        <v>-17000</v>
      </c>
      <c r="R43" s="7"/>
      <c r="S43" s="7"/>
      <c r="T43" s="7"/>
      <c r="U43" s="69">
        <f t="shared" si="2"/>
        <v>-35000</v>
      </c>
    </row>
    <row r="44" spans="1:24" x14ac:dyDescent="0.25">
      <c r="A44" s="64"/>
      <c r="B44" s="12"/>
      <c r="C44" s="12"/>
      <c r="D44" s="12"/>
      <c r="E44" s="12"/>
      <c r="F44" s="12"/>
      <c r="G44" s="69"/>
      <c r="P44" s="12"/>
      <c r="Q44" s="12"/>
      <c r="R44" s="12"/>
      <c r="S44" s="12"/>
      <c r="T44" s="12"/>
      <c r="U44" s="69"/>
    </row>
    <row r="45" spans="1:24" x14ac:dyDescent="0.25">
      <c r="A45" s="64" t="s">
        <v>223</v>
      </c>
      <c r="B45" s="88">
        <v>79170.063083077315</v>
      </c>
      <c r="C45" s="88">
        <v>97699.547149529681</v>
      </c>
      <c r="D45" s="88">
        <v>-6866.9886999990849</v>
      </c>
      <c r="E45" s="88">
        <v>4082.4906400000455</v>
      </c>
      <c r="F45" s="88">
        <v>3345.25</v>
      </c>
      <c r="G45" s="69">
        <v>179047.74217263376</v>
      </c>
      <c r="P45" s="88">
        <f>P35-SUM(P37:P43)</f>
        <v>79170.063083077315</v>
      </c>
      <c r="Q45" s="88">
        <f t="shared" ref="Q45:T45" si="3">Q35-SUM(Q37:Q43)</f>
        <v>97699.547149529681</v>
      </c>
      <c r="R45" s="88">
        <f t="shared" si="3"/>
        <v>-6866.9886999990849</v>
      </c>
      <c r="S45" s="88">
        <f t="shared" si="3"/>
        <v>4082.4906400000455</v>
      </c>
      <c r="T45" s="88">
        <f t="shared" si="3"/>
        <v>3345.25</v>
      </c>
      <c r="U45" s="69">
        <f>+U35-SUM(U37:U43)</f>
        <v>179047.74217263376</v>
      </c>
      <c r="V45" s="58">
        <f>SUM(P45:T45)-U34</f>
        <v>179047.74217260795</v>
      </c>
      <c r="W45" s="80">
        <f>U45-V45</f>
        <v>2.5815097615122795E-8</v>
      </c>
      <c r="X45" s="58" t="s">
        <v>231</v>
      </c>
    </row>
    <row r="46" spans="1:24" ht="15.75" thickBot="1" x14ac:dyDescent="0.3">
      <c r="A46" s="82" t="s">
        <v>232</v>
      </c>
      <c r="B46" s="89">
        <v>1315.5</v>
      </c>
      <c r="C46" s="89">
        <v>16.324000000000002</v>
      </c>
      <c r="D46" s="89">
        <v>986.6</v>
      </c>
      <c r="E46" s="89">
        <v>1047.2</v>
      </c>
      <c r="F46" s="89">
        <v>1870</v>
      </c>
      <c r="G46" s="90"/>
      <c r="P46" s="89">
        <v>1315.5</v>
      </c>
      <c r="Q46" s="89">
        <v>16.324000000000002</v>
      </c>
      <c r="R46" s="89">
        <v>986.6</v>
      </c>
      <c r="S46" s="89">
        <v>1047.2</v>
      </c>
      <c r="T46" s="89">
        <v>1870</v>
      </c>
      <c r="U46" s="90"/>
      <c r="V46" s="58">
        <f>'[4]P&amp;L Compare to Hedge 2018'!$C$45</f>
        <v>179047.73598288454</v>
      </c>
      <c r="W46" s="57">
        <f>U45-V46-0.01</f>
        <v>-3.8102507730945947E-3</v>
      </c>
      <c r="X46" s="59" t="s">
        <v>233</v>
      </c>
    </row>
    <row r="47" spans="1:24" x14ac:dyDescent="0.25">
      <c r="A47" s="118" t="s">
        <v>211</v>
      </c>
      <c r="D47" s="59"/>
      <c r="E47" s="59"/>
      <c r="F47" s="59"/>
      <c r="G47" s="59"/>
      <c r="P47" s="59"/>
      <c r="Q47" s="59"/>
      <c r="R47" s="59"/>
      <c r="S47" s="59"/>
      <c r="T47" s="59"/>
      <c r="U47" s="59"/>
    </row>
    <row r="48" spans="1:24" x14ac:dyDescent="0.25">
      <c r="A48" s="119" t="s">
        <v>212</v>
      </c>
      <c r="D48" s="59"/>
      <c r="E48" s="59"/>
      <c r="F48" s="59"/>
      <c r="G48" s="59"/>
      <c r="P48" s="59"/>
      <c r="Q48" s="59"/>
      <c r="R48" s="59"/>
      <c r="S48" s="59"/>
      <c r="T48" s="59"/>
      <c r="U48" s="59"/>
    </row>
    <row r="49" spans="1:23" x14ac:dyDescent="0.25">
      <c r="A49" s="120">
        <v>43190</v>
      </c>
      <c r="D49" s="59"/>
      <c r="E49" s="59"/>
      <c r="F49" s="59"/>
      <c r="G49" s="59"/>
      <c r="P49" s="59"/>
      <c r="Q49" s="59"/>
      <c r="R49" s="59"/>
      <c r="S49" s="59"/>
      <c r="T49" s="59"/>
      <c r="U49" s="59"/>
    </row>
    <row r="50" spans="1:23" x14ac:dyDescent="0.25">
      <c r="A50" s="61"/>
      <c r="B50" s="62"/>
      <c r="C50" s="62"/>
      <c r="D50" s="62"/>
      <c r="E50" s="62"/>
      <c r="F50" s="62"/>
      <c r="G50" s="63"/>
      <c r="P50" s="62"/>
      <c r="Q50" s="62"/>
      <c r="R50" s="62"/>
      <c r="S50" s="62"/>
      <c r="T50" s="62"/>
      <c r="U50" s="63"/>
    </row>
    <row r="51" spans="1:23" s="68" customFormat="1" x14ac:dyDescent="0.25">
      <c r="A51" s="64"/>
      <c r="B51" s="65" t="s">
        <v>213</v>
      </c>
      <c r="C51" s="65" t="s">
        <v>214</v>
      </c>
      <c r="D51" s="65" t="s">
        <v>215</v>
      </c>
      <c r="E51" s="65" t="s">
        <v>216</v>
      </c>
      <c r="F51" s="65" t="s">
        <v>217</v>
      </c>
      <c r="G51" s="66" t="s">
        <v>218</v>
      </c>
      <c r="P51" s="65" t="s">
        <v>213</v>
      </c>
      <c r="Q51" s="65" t="s">
        <v>214</v>
      </c>
      <c r="R51" s="65" t="s">
        <v>215</v>
      </c>
      <c r="S51" s="65" t="s">
        <v>216</v>
      </c>
      <c r="T51" s="65" t="s">
        <v>217</v>
      </c>
      <c r="U51" s="66" t="s">
        <v>218</v>
      </c>
      <c r="V51" s="67"/>
    </row>
    <row r="52" spans="1:23" x14ac:dyDescent="0.25">
      <c r="A52" s="64" t="s">
        <v>63</v>
      </c>
      <c r="B52" s="7">
        <v>101069868.19</v>
      </c>
      <c r="C52" s="7">
        <v>305312522.13</v>
      </c>
      <c r="D52" s="7">
        <v>622399.88</v>
      </c>
      <c r="E52" s="7">
        <v>1427673</v>
      </c>
      <c r="F52" s="7">
        <v>108078.75</v>
      </c>
      <c r="G52" s="69">
        <v>408540541.94999999</v>
      </c>
      <c r="P52" s="7">
        <f>'[4]P&amp;L Compare to Hedge 2018'!$D$5</f>
        <v>101069868.19</v>
      </c>
      <c r="Q52" s="7">
        <f>'[4]P&amp;L Compare to Hedge 2018'!$D$6</f>
        <v>305312522.13</v>
      </c>
      <c r="R52" s="7">
        <f>'[4]P&amp;L Compare to Hedge 2018'!$D$7</f>
        <v>622399.88</v>
      </c>
      <c r="S52" s="7">
        <f>'[4]P&amp;L Compare to Hedge 2018'!$D$8</f>
        <v>1427673</v>
      </c>
      <c r="T52" s="7">
        <f>'[4]P&amp;L Compare to Hedge 2018'!$D$9</f>
        <v>108078.75</v>
      </c>
      <c r="U52" s="69">
        <f>SUM(P52:T52)</f>
        <v>408540541.94999999</v>
      </c>
    </row>
    <row r="53" spans="1:23" x14ac:dyDescent="0.25">
      <c r="A53" s="64" t="s">
        <v>219</v>
      </c>
      <c r="B53" s="7">
        <v>100906197.60999998</v>
      </c>
      <c r="C53" s="7">
        <v>305678068.99000001</v>
      </c>
      <c r="D53" s="7">
        <v>618326.57000000007</v>
      </c>
      <c r="E53" s="7">
        <v>1446310.3</v>
      </c>
      <c r="F53" s="7">
        <v>104546.19</v>
      </c>
      <c r="G53" s="69">
        <v>408753449.66000003</v>
      </c>
      <c r="P53" s="7">
        <f>'[4]P&amp;L Compare to Hedge 2018'!$D$14</f>
        <v>100906197.60999998</v>
      </c>
      <c r="Q53" s="7">
        <f>'[4]P&amp;L Compare to Hedge 2018'!$D$15</f>
        <v>305678068.99000001</v>
      </c>
      <c r="R53" s="7">
        <f>'[4]P&amp;L Compare to Hedge 2018'!$D$16</f>
        <v>618326.57000000007</v>
      </c>
      <c r="S53" s="7">
        <f>'[4]P&amp;L Compare to Hedge 2018'!$D$17</f>
        <v>1446310.3</v>
      </c>
      <c r="T53" s="7">
        <f>'[4]P&amp;L Compare to Hedge 2018'!$D$18</f>
        <v>104546.19</v>
      </c>
      <c r="U53" s="69">
        <f>SUM(P53:T53)</f>
        <v>408753449.66000003</v>
      </c>
    </row>
    <row r="54" spans="1:23" x14ac:dyDescent="0.25">
      <c r="A54" s="64" t="s">
        <v>220</v>
      </c>
      <c r="B54" s="7">
        <v>-102046.03999999166</v>
      </c>
      <c r="C54" s="7">
        <v>73914.890000000596</v>
      </c>
      <c r="D54" s="7">
        <v>-28127.939999999944</v>
      </c>
      <c r="E54" s="7">
        <v>-35497.39</v>
      </c>
      <c r="F54" s="7">
        <v>0</v>
      </c>
      <c r="G54" s="69">
        <v>-91756.479999991003</v>
      </c>
      <c r="P54" s="7">
        <f>'[4]P&amp;L Compare to Hedge 2018'!$D$21</f>
        <v>-102046.03999999166</v>
      </c>
      <c r="Q54" s="7">
        <f>'[4]P&amp;L Compare to Hedge 2018'!$D$22</f>
        <v>73914.890000000596</v>
      </c>
      <c r="R54" s="7">
        <f>'[4]P&amp;L Compare to Hedge 2018'!$D$23</f>
        <v>-28127.939999999944</v>
      </c>
      <c r="S54" s="7">
        <f>'[4]P&amp;L Compare to Hedge 2018'!$D$24</f>
        <v>-35497.39</v>
      </c>
      <c r="T54" s="7">
        <v>0</v>
      </c>
      <c r="U54" s="69">
        <f>SUM(P54:T54)</f>
        <v>-91756.479999991003</v>
      </c>
    </row>
    <row r="55" spans="1:23" x14ac:dyDescent="0.25">
      <c r="A55" s="64" t="s">
        <v>221</v>
      </c>
      <c r="B55" s="7">
        <v>-649600</v>
      </c>
      <c r="C55" s="7">
        <v>67555.530000001192</v>
      </c>
      <c r="D55" s="7">
        <v>-3890</v>
      </c>
      <c r="E55" s="7">
        <v>0</v>
      </c>
      <c r="F55" s="12">
        <v>0</v>
      </c>
      <c r="G55" s="69">
        <v>-585934.46999999881</v>
      </c>
      <c r="P55" s="7">
        <f>'[4]P&amp;L Compare to Hedge 2018'!$D$26</f>
        <v>-649600</v>
      </c>
      <c r="Q55" s="7">
        <f>'[4]P&amp;L Compare to Hedge 2018'!$D$27</f>
        <v>67555.530000001192</v>
      </c>
      <c r="R55" s="7">
        <f>'[4]P&amp;L Compare to Hedge 2018'!$D$28</f>
        <v>-3890</v>
      </c>
      <c r="S55" s="7">
        <f>'[4]P&amp;L Compare to Hedge 2018'!$D$29</f>
        <v>0</v>
      </c>
      <c r="T55" s="12">
        <v>0</v>
      </c>
      <c r="U55" s="69">
        <f>SUM(P55:T55)</f>
        <v>-585934.46999999881</v>
      </c>
    </row>
    <row r="56" spans="1:23" ht="15.75" thickBot="1" x14ac:dyDescent="0.3">
      <c r="A56" s="64" t="s">
        <v>222</v>
      </c>
      <c r="B56" s="12">
        <v>567828.19951001555</v>
      </c>
      <c r="C56" s="12">
        <v>-931711.66054889513</v>
      </c>
      <c r="D56" s="12">
        <v>-2899.6698899999028</v>
      </c>
      <c r="E56" s="12">
        <v>-27321.270960000053</v>
      </c>
      <c r="F56" s="12">
        <v>-19993.190000000017</v>
      </c>
      <c r="G56" s="83">
        <v>-414097.59188887954</v>
      </c>
      <c r="P56" s="12">
        <f>'[7]Mrkg to Mkt Gold'!$E$28</f>
        <v>567828.19951001555</v>
      </c>
      <c r="Q56" s="12">
        <f>'[7]Mkg to Mkt Silver'!$E$28</f>
        <v>-931711.66054889513</v>
      </c>
      <c r="R56" s="12">
        <f>'[7]Mkg to Mkt Platinum  '!$E$28</f>
        <v>-2899.6698899999028</v>
      </c>
      <c r="S56" s="12">
        <f>'[7]Mkg to Mkt Palladium'!$E$28</f>
        <v>-27321.270960000053</v>
      </c>
      <c r="T56" s="12">
        <f>'[7]Mkg to Mkt Rhodium'!$E$28</f>
        <v>-19993.190000000017</v>
      </c>
      <c r="U56" s="83">
        <f>SUM(P56:T56)</f>
        <v>-414097.59188887954</v>
      </c>
    </row>
    <row r="57" spans="1:23" ht="15.75" thickBot="1" x14ac:dyDescent="0.3">
      <c r="A57" s="64" t="s">
        <v>224</v>
      </c>
      <c r="B57" s="84"/>
      <c r="C57" s="84"/>
      <c r="D57" s="84"/>
      <c r="E57" s="84"/>
      <c r="F57" s="84"/>
      <c r="G57" s="85">
        <v>5756.07</v>
      </c>
      <c r="P57" s="84"/>
      <c r="Q57" s="84"/>
      <c r="R57" s="84"/>
      <c r="S57" s="84"/>
      <c r="T57" s="84"/>
      <c r="U57" s="85">
        <f>'[4]P&amp;L Compare to Hedge 2018'!$D$32</f>
        <v>5756.07</v>
      </c>
    </row>
    <row r="58" spans="1:23" ht="15.75" thickBot="1" x14ac:dyDescent="0.3">
      <c r="A58" s="64"/>
      <c r="B58" s="86">
        <v>347488.42048998922</v>
      </c>
      <c r="C58" s="86">
        <v>424694.38054887904</v>
      </c>
      <c r="D58" s="86">
        <v>38990.919889999786</v>
      </c>
      <c r="E58" s="86">
        <v>44181.360960000005</v>
      </c>
      <c r="F58" s="86">
        <v>23525.750000000015</v>
      </c>
      <c r="G58" s="76">
        <v>873124.76188883127</v>
      </c>
      <c r="P58" s="86">
        <f>+P52-P53-P54-P55-P56</f>
        <v>347488.42048998922</v>
      </c>
      <c r="Q58" s="86">
        <f>+Q52-Q53-Q54-Q55-Q56</f>
        <v>424694.38054887904</v>
      </c>
      <c r="R58" s="86">
        <f>+R52-R53-R54-R55-R56</f>
        <v>38990.919889999786</v>
      </c>
      <c r="S58" s="86">
        <f>+S52-S53-S54-S55-S56</f>
        <v>44181.360960000005</v>
      </c>
      <c r="T58" s="86">
        <f>+T52-T53-T54-T55-T56</f>
        <v>23525.750000000015</v>
      </c>
      <c r="U58" s="76">
        <f>+U52-U53-U54-U55-U56-U57</f>
        <v>873124.76188883127</v>
      </c>
      <c r="W58" s="80"/>
    </row>
    <row r="59" spans="1:23" ht="15.75" thickTop="1" x14ac:dyDescent="0.25">
      <c r="A59" s="64"/>
      <c r="B59" s="87"/>
      <c r="C59" s="87"/>
      <c r="D59" s="87"/>
      <c r="E59" s="87"/>
      <c r="F59" s="87"/>
      <c r="G59" s="69"/>
      <c r="P59" s="87"/>
      <c r="Q59" s="87"/>
      <c r="R59" s="87"/>
      <c r="S59" s="87"/>
      <c r="T59" s="87"/>
      <c r="U59" s="69"/>
    </row>
    <row r="60" spans="1:23" x14ac:dyDescent="0.25">
      <c r="A60" s="64" t="s">
        <v>225</v>
      </c>
      <c r="B60" s="91">
        <v>332184.39528701216</v>
      </c>
      <c r="C60" s="91">
        <v>311757.88299998752</v>
      </c>
      <c r="D60" s="91">
        <v>8782.1078999999936</v>
      </c>
      <c r="E60" s="91">
        <v>14892.187999999987</v>
      </c>
      <c r="F60" s="91">
        <v>6747.14</v>
      </c>
      <c r="G60" s="69">
        <v>674363.7141869996</v>
      </c>
      <c r="P60" s="91">
        <f>'[1]Comparison 2017-2018'!$B$80</f>
        <v>332184.39528701216</v>
      </c>
      <c r="Q60" s="91">
        <f>'[1]Comparison 2017-2018'!$C$80</f>
        <v>311757.88299998752</v>
      </c>
      <c r="R60" s="91">
        <f>'[1]Comparison 2017-2018'!$D$80</f>
        <v>8782.1078999999936</v>
      </c>
      <c r="S60" s="91">
        <f>'[1]Comparison 2017-2018'!$E$80</f>
        <v>14892.187999999987</v>
      </c>
      <c r="T60" s="91">
        <f>'[1]Comparison 2017-2018'!$F$80</f>
        <v>6747.14</v>
      </c>
      <c r="U60" s="69">
        <f t="shared" ref="U60:U66" si="4">SUM(P60:T60)</f>
        <v>674363.7141869996</v>
      </c>
    </row>
    <row r="61" spans="1:23" x14ac:dyDescent="0.25">
      <c r="A61" s="64" t="s">
        <v>226</v>
      </c>
      <c r="B61" s="12">
        <v>3529.42</v>
      </c>
      <c r="C61" s="12">
        <v>2652.3</v>
      </c>
      <c r="D61" s="12">
        <v>0</v>
      </c>
      <c r="E61" s="12">
        <v>0</v>
      </c>
      <c r="F61" s="12">
        <v>0</v>
      </c>
      <c r="G61" s="69">
        <v>6181.72</v>
      </c>
      <c r="P61" s="12">
        <v>3529.42</v>
      </c>
      <c r="Q61" s="12">
        <v>2652.3</v>
      </c>
      <c r="R61" s="12">
        <v>0</v>
      </c>
      <c r="S61" s="12">
        <v>0</v>
      </c>
      <c r="T61" s="12">
        <v>0</v>
      </c>
      <c r="U61" s="69">
        <f t="shared" si="4"/>
        <v>6181.72</v>
      </c>
    </row>
    <row r="62" spans="1:23" x14ac:dyDescent="0.25">
      <c r="A62" s="64" t="s">
        <v>227</v>
      </c>
      <c r="B62" s="12">
        <v>22978.059999999998</v>
      </c>
      <c r="C62" s="12">
        <v>8036.34</v>
      </c>
      <c r="D62" s="12">
        <v>59317.869999999995</v>
      </c>
      <c r="E62" s="12">
        <v>0</v>
      </c>
      <c r="F62" s="12">
        <v>0</v>
      </c>
      <c r="G62" s="69">
        <v>90332.26999999999</v>
      </c>
      <c r="P62" s="12">
        <f>[2]Mar!$B$10</f>
        <v>22978.059999999998</v>
      </c>
      <c r="Q62" s="12">
        <f>[2]Mar!$B$20</f>
        <v>8036.34</v>
      </c>
      <c r="R62" s="12">
        <f>[2]Mar!$B$26+[2]Mar!$B$31</f>
        <v>59317.869999999995</v>
      </c>
      <c r="S62" s="12">
        <v>0</v>
      </c>
      <c r="T62" s="12">
        <v>0</v>
      </c>
      <c r="U62" s="69">
        <f t="shared" si="4"/>
        <v>90332.26999999999</v>
      </c>
    </row>
    <row r="63" spans="1:23" x14ac:dyDescent="0.25">
      <c r="A63" s="64" t="s">
        <v>228</v>
      </c>
      <c r="B63" s="12">
        <v>-7369.6</v>
      </c>
      <c r="C63" s="12">
        <v>-19853.800000000003</v>
      </c>
      <c r="D63" s="12">
        <v>0</v>
      </c>
      <c r="E63" s="12">
        <v>0</v>
      </c>
      <c r="F63" s="12">
        <v>0</v>
      </c>
      <c r="G63" s="69">
        <v>-27223.4</v>
      </c>
      <c r="P63" s="12">
        <v>-7369.6</v>
      </c>
      <c r="Q63" s="12">
        <f>-27223.4+7369.6</f>
        <v>-19853.800000000003</v>
      </c>
      <c r="R63" s="12">
        <v>0</v>
      </c>
      <c r="S63" s="12">
        <v>0</v>
      </c>
      <c r="T63" s="12">
        <v>0</v>
      </c>
      <c r="U63" s="69">
        <f t="shared" si="4"/>
        <v>-27223.4</v>
      </c>
    </row>
    <row r="64" spans="1:23" x14ac:dyDescent="0.25">
      <c r="A64" s="64" t="s">
        <v>229</v>
      </c>
      <c r="B64" s="12">
        <v>-5460</v>
      </c>
      <c r="C64" s="12">
        <v>61057</v>
      </c>
      <c r="D64" s="8">
        <v>-530</v>
      </c>
      <c r="E64" s="8"/>
      <c r="F64" s="8"/>
      <c r="G64" s="69">
        <v>55067</v>
      </c>
      <c r="P64" s="12">
        <v>-5460</v>
      </c>
      <c r="Q64" s="12">
        <v>61057</v>
      </c>
      <c r="R64" s="8">
        <v>-530</v>
      </c>
      <c r="S64" s="8"/>
      <c r="T64" s="8"/>
      <c r="U64" s="69">
        <f t="shared" si="4"/>
        <v>55067</v>
      </c>
    </row>
    <row r="65" spans="1:24" x14ac:dyDescent="0.25">
      <c r="A65" s="64" t="s">
        <v>37</v>
      </c>
      <c r="B65" s="12">
        <v>-18000</v>
      </c>
      <c r="C65" s="12">
        <v>-17000</v>
      </c>
      <c r="D65" s="12"/>
      <c r="E65" s="12"/>
      <c r="F65" s="12"/>
      <c r="G65" s="69">
        <v>-35000</v>
      </c>
      <c r="P65" s="12">
        <v>-18000</v>
      </c>
      <c r="Q65" s="12">
        <v>-17000</v>
      </c>
      <c r="R65" s="12"/>
      <c r="S65" s="12"/>
      <c r="T65" s="12"/>
      <c r="U65" s="69">
        <f t="shared" si="4"/>
        <v>-35000</v>
      </c>
    </row>
    <row r="66" spans="1:24" x14ac:dyDescent="0.25">
      <c r="A66" s="64" t="s">
        <v>230</v>
      </c>
      <c r="B66" s="12">
        <v>0</v>
      </c>
      <c r="C66" s="12">
        <v>0</v>
      </c>
      <c r="D66" s="12"/>
      <c r="E66" s="12"/>
      <c r="F66" s="12"/>
      <c r="G66" s="69">
        <v>0</v>
      </c>
      <c r="P66" s="12">
        <v>0</v>
      </c>
      <c r="Q66" s="12">
        <v>0</v>
      </c>
      <c r="R66" s="12"/>
      <c r="S66" s="12"/>
      <c r="T66" s="12"/>
      <c r="U66" s="69">
        <f t="shared" si="4"/>
        <v>0</v>
      </c>
    </row>
    <row r="67" spans="1:24" x14ac:dyDescent="0.25">
      <c r="A67" s="64"/>
      <c r="B67" s="12"/>
      <c r="C67" s="12"/>
      <c r="D67" s="12"/>
      <c r="E67" s="12"/>
      <c r="F67" s="12"/>
      <c r="G67" s="69"/>
      <c r="P67" s="12"/>
      <c r="Q67" s="12"/>
      <c r="R67" s="12"/>
      <c r="S67" s="12"/>
      <c r="T67" s="12"/>
      <c r="U67" s="69"/>
      <c r="V67" s="58">
        <f>SUM(P68:T68)-U57</f>
        <v>109403.45770186838</v>
      </c>
      <c r="W67" s="80">
        <f>U68-V67</f>
        <v>-3.6670826375484467E-8</v>
      </c>
      <c r="X67" s="58" t="s">
        <v>231</v>
      </c>
    </row>
    <row r="68" spans="1:24" x14ac:dyDescent="0.25">
      <c r="A68" s="64" t="s">
        <v>223</v>
      </c>
      <c r="B68" s="88">
        <v>19626.145202977059</v>
      </c>
      <c r="C68" s="88">
        <v>78044.657548891497</v>
      </c>
      <c r="D68" s="88">
        <v>-28579.058010000197</v>
      </c>
      <c r="E68" s="88">
        <v>29289.172960000018</v>
      </c>
      <c r="F68" s="88">
        <v>16778.610000000015</v>
      </c>
      <c r="G68" s="69">
        <v>109403.45770183171</v>
      </c>
      <c r="P68" s="88">
        <f>+P58-SUM(P60:P66)</f>
        <v>19626.145202977059</v>
      </c>
      <c r="Q68" s="88">
        <f t="shared" ref="Q68:T68" si="5">+Q58-SUM(Q60:Q66)</f>
        <v>78044.657548891497</v>
      </c>
      <c r="R68" s="88">
        <f t="shared" si="5"/>
        <v>-28579.058010000197</v>
      </c>
      <c r="S68" s="88">
        <f t="shared" si="5"/>
        <v>29289.172960000018</v>
      </c>
      <c r="T68" s="88">
        <f t="shared" si="5"/>
        <v>16778.610000000015</v>
      </c>
      <c r="U68" s="69">
        <f>+U58-SUM(U60:U66)</f>
        <v>109403.45770183171</v>
      </c>
      <c r="V68" s="58">
        <f>'[4]P&amp;L Compare to Hedge 2018'!$D$45</f>
        <v>109403.45581293106</v>
      </c>
      <c r="W68" s="57">
        <f>U68-V68</f>
        <v>1.8889006460085511E-3</v>
      </c>
      <c r="X68" s="59" t="s">
        <v>233</v>
      </c>
    </row>
    <row r="69" spans="1:24" ht="15.75" thickBot="1" x14ac:dyDescent="0.3">
      <c r="A69" s="82" t="s">
        <v>232</v>
      </c>
      <c r="B69" s="89">
        <v>1322.8</v>
      </c>
      <c r="C69" s="89">
        <v>16.222999999999999</v>
      </c>
      <c r="D69" s="89">
        <v>927.3</v>
      </c>
      <c r="E69" s="89">
        <v>944.8</v>
      </c>
      <c r="F69" s="89">
        <v>2040</v>
      </c>
      <c r="G69" s="90"/>
      <c r="P69" s="89">
        <v>1322.8</v>
      </c>
      <c r="Q69" s="89">
        <v>16.222999999999999</v>
      </c>
      <c r="R69" s="89">
        <v>927.3</v>
      </c>
      <c r="S69" s="89">
        <v>944.8</v>
      </c>
      <c r="T69" s="89">
        <v>2040</v>
      </c>
      <c r="U69" s="90"/>
    </row>
    <row r="70" spans="1:24" x14ac:dyDescent="0.25">
      <c r="A70" s="118" t="s">
        <v>211</v>
      </c>
      <c r="D70" s="59"/>
      <c r="E70" s="59"/>
      <c r="F70" s="59"/>
      <c r="G70" s="59"/>
      <c r="P70" s="59"/>
      <c r="Q70" s="59"/>
      <c r="R70" s="59"/>
      <c r="S70" s="59"/>
      <c r="T70" s="59"/>
      <c r="U70" s="59"/>
    </row>
    <row r="71" spans="1:24" x14ac:dyDescent="0.25">
      <c r="A71" s="119" t="s">
        <v>212</v>
      </c>
      <c r="D71" s="59"/>
      <c r="E71" s="59"/>
      <c r="F71" s="59"/>
      <c r="G71" s="59"/>
      <c r="P71" s="59"/>
      <c r="Q71" s="59"/>
      <c r="R71" s="59"/>
      <c r="S71" s="59"/>
      <c r="T71" s="59"/>
      <c r="U71" s="59"/>
    </row>
    <row r="72" spans="1:24" x14ac:dyDescent="0.25">
      <c r="A72" s="120">
        <v>43220</v>
      </c>
      <c r="D72" s="59"/>
      <c r="E72" s="59"/>
      <c r="F72" s="59"/>
      <c r="G72" s="59"/>
      <c r="P72" s="59"/>
      <c r="Q72" s="59"/>
      <c r="R72" s="59"/>
      <c r="S72" s="59"/>
      <c r="T72" s="59"/>
      <c r="U72" s="59"/>
    </row>
    <row r="73" spans="1:24" s="68" customFormat="1" x14ac:dyDescent="0.25">
      <c r="A73" s="61"/>
      <c r="B73" s="62"/>
      <c r="C73" s="62"/>
      <c r="D73" s="62"/>
      <c r="E73" s="62"/>
      <c r="F73" s="62"/>
      <c r="G73" s="63"/>
      <c r="P73" s="62"/>
      <c r="Q73" s="62"/>
      <c r="R73" s="62"/>
      <c r="S73" s="62"/>
      <c r="T73" s="62"/>
      <c r="U73" s="63"/>
      <c r="V73" s="67"/>
    </row>
    <row r="74" spans="1:24" x14ac:dyDescent="0.25">
      <c r="A74" s="64"/>
      <c r="B74" s="65" t="s">
        <v>213</v>
      </c>
      <c r="C74" s="65" t="s">
        <v>214</v>
      </c>
      <c r="D74" s="65" t="s">
        <v>215</v>
      </c>
      <c r="E74" s="65" t="s">
        <v>216</v>
      </c>
      <c r="F74" s="65" t="s">
        <v>217</v>
      </c>
      <c r="G74" s="66" t="s">
        <v>218</v>
      </c>
      <c r="P74" s="65" t="s">
        <v>213</v>
      </c>
      <c r="Q74" s="65" t="s">
        <v>214</v>
      </c>
      <c r="R74" s="65" t="s">
        <v>215</v>
      </c>
      <c r="S74" s="65" t="s">
        <v>216</v>
      </c>
      <c r="T74" s="65" t="s">
        <v>217</v>
      </c>
      <c r="U74" s="66" t="s">
        <v>218</v>
      </c>
    </row>
    <row r="75" spans="1:24" x14ac:dyDescent="0.25">
      <c r="A75" s="64" t="s">
        <v>63</v>
      </c>
      <c r="B75" s="7">
        <v>92671539.059999987</v>
      </c>
      <c r="C75" s="7">
        <v>46941731.32</v>
      </c>
      <c r="D75" s="7">
        <v>1945746.84</v>
      </c>
      <c r="E75" s="7">
        <v>2167697.4500000002</v>
      </c>
      <c r="F75" s="7">
        <v>903549.14</v>
      </c>
      <c r="G75" s="69">
        <v>144630263.80999997</v>
      </c>
      <c r="P75" s="7">
        <f>'[4]P&amp;L Compare to Hedge 2018'!$E$5</f>
        <v>92671539.059999987</v>
      </c>
      <c r="Q75" s="7">
        <f>'[4]P&amp;L Compare to Hedge 2018'!$E$6</f>
        <v>46941731.32</v>
      </c>
      <c r="R75" s="7">
        <f>'[4]P&amp;L Compare to Hedge 2018'!$E$7</f>
        <v>1945746.84</v>
      </c>
      <c r="S75" s="7">
        <f>'[4]P&amp;L Compare to Hedge 2018'!$E$8</f>
        <v>2167697.4500000002</v>
      </c>
      <c r="T75" s="7">
        <f>'[4]P&amp;L Compare to Hedge 2018'!$E$9</f>
        <v>903549.14</v>
      </c>
      <c r="U75" s="69">
        <f t="shared" ref="U75:U80" si="6">SUM(P75:T75)</f>
        <v>144630263.80999997</v>
      </c>
    </row>
    <row r="76" spans="1:24" x14ac:dyDescent="0.25">
      <c r="A76" s="64" t="s">
        <v>219</v>
      </c>
      <c r="B76" s="7">
        <v>92373678.780000001</v>
      </c>
      <c r="C76" s="7">
        <v>48482029.219999999</v>
      </c>
      <c r="D76" s="7">
        <v>1945380.79</v>
      </c>
      <c r="E76" s="7">
        <v>2111524.9700000002</v>
      </c>
      <c r="F76" s="7">
        <v>891459.31</v>
      </c>
      <c r="G76" s="69">
        <v>145804073.06999999</v>
      </c>
      <c r="P76" s="7">
        <f>'[4]P&amp;L Compare to Hedge 2018'!$E$14</f>
        <v>92373678.780000001</v>
      </c>
      <c r="Q76" s="7">
        <f>'[4]P&amp;L Compare to Hedge 2018'!$E$15</f>
        <v>48482029.219999999</v>
      </c>
      <c r="R76" s="7">
        <f>'[4]P&amp;L Compare to Hedge 2018'!$E$16</f>
        <v>1945380.79</v>
      </c>
      <c r="S76" s="7">
        <f>'[4]P&amp;L Compare to Hedge 2018'!$E$17</f>
        <v>2111524.9700000002</v>
      </c>
      <c r="T76" s="7">
        <f>'[4]P&amp;L Compare to Hedge 2018'!$E$18</f>
        <v>891459.31</v>
      </c>
      <c r="U76" s="69">
        <f t="shared" si="6"/>
        <v>145804073.06999999</v>
      </c>
    </row>
    <row r="77" spans="1:24" x14ac:dyDescent="0.25">
      <c r="A77" s="64" t="s">
        <v>220</v>
      </c>
      <c r="B77" s="7">
        <v>14781.879999995232</v>
      </c>
      <c r="C77" s="7">
        <v>442679.44999998808</v>
      </c>
      <c r="D77" s="7">
        <v>1048.5499999999884</v>
      </c>
      <c r="E77" s="7">
        <v>2061.8000000000466</v>
      </c>
      <c r="F77" s="7">
        <v>0</v>
      </c>
      <c r="G77" s="69">
        <v>460571.67999998335</v>
      </c>
      <c r="P77" s="7">
        <f>'[4]P&amp;L Compare to Hedge 2018'!$E$21</f>
        <v>14781.879999995232</v>
      </c>
      <c r="Q77" s="7">
        <f>'[4]P&amp;L Compare to Hedge 2018'!$E$22</f>
        <v>442679.44999998808</v>
      </c>
      <c r="R77" s="7">
        <f>'[4]P&amp;L Compare to Hedge 2018'!$E$23</f>
        <v>1048.5499999999884</v>
      </c>
      <c r="S77" s="7">
        <f>'[4]P&amp;L Compare to Hedge 2018'!$E$24</f>
        <v>2061.8000000000466</v>
      </c>
      <c r="T77" s="7">
        <v>0</v>
      </c>
      <c r="U77" s="69">
        <f t="shared" si="6"/>
        <v>460571.67999998335</v>
      </c>
    </row>
    <row r="78" spans="1:24" x14ac:dyDescent="0.25">
      <c r="A78" s="64" t="s">
        <v>221</v>
      </c>
      <c r="B78" s="7">
        <v>339010</v>
      </c>
      <c r="C78" s="7">
        <v>-3414426</v>
      </c>
      <c r="D78" s="7">
        <v>-555</v>
      </c>
      <c r="E78" s="7">
        <v>0</v>
      </c>
      <c r="F78" s="12">
        <v>0</v>
      </c>
      <c r="G78" s="69">
        <v>-3075971</v>
      </c>
      <c r="P78" s="7">
        <f>'[4]P&amp;L Compare to Hedge 2018'!$E$26</f>
        <v>339010</v>
      </c>
      <c r="Q78" s="7">
        <f>'[4]P&amp;L Compare to Hedge 2018'!$E$27</f>
        <v>-3414426</v>
      </c>
      <c r="R78" s="7">
        <f>'[4]P&amp;L Compare to Hedge 2018'!$E$28</f>
        <v>-555</v>
      </c>
      <c r="S78" s="7">
        <f>'[4]P&amp;L Compare to Hedge 2018'!$E$29</f>
        <v>0</v>
      </c>
      <c r="T78" s="12">
        <v>0</v>
      </c>
      <c r="U78" s="69">
        <f t="shared" si="6"/>
        <v>-3075971</v>
      </c>
    </row>
    <row r="79" spans="1:24" x14ac:dyDescent="0.25">
      <c r="A79" s="64" t="s">
        <v>222</v>
      </c>
      <c r="B79" s="12">
        <v>-212199.27639002353</v>
      </c>
      <c r="C79" s="12">
        <v>1133883.7106935014</v>
      </c>
      <c r="D79" s="77">
        <v>-17872.84760000027</v>
      </c>
      <c r="E79" s="77">
        <v>35879.561575000058</v>
      </c>
      <c r="F79" s="77">
        <v>24746.690000000002</v>
      </c>
      <c r="G79" s="69">
        <v>964437.83827847778</v>
      </c>
      <c r="P79" s="12">
        <f>'[8]Mrkg to Mkt Gold'!$E$28</f>
        <v>-212199.27639002353</v>
      </c>
      <c r="Q79" s="12">
        <f>'[8]Mkg to Mkt Silver'!$E$28</f>
        <v>1133883.7106935014</v>
      </c>
      <c r="R79" s="77">
        <f>'[8]Mkg to Mkt Platinum  '!$E$28</f>
        <v>-17872.84760000027</v>
      </c>
      <c r="S79" s="77">
        <f>'[8]Mkg to Mkt Palladium'!$E$28</f>
        <v>35879.561575000058</v>
      </c>
      <c r="T79" s="77">
        <f>'[8]Mkg to Mkt Rhodium'!$E$28</f>
        <v>24746.690000000002</v>
      </c>
      <c r="U79" s="69">
        <f t="shared" si="6"/>
        <v>964437.83827847778</v>
      </c>
    </row>
    <row r="80" spans="1:24" ht="15.75" thickBot="1" x14ac:dyDescent="0.3">
      <c r="A80" s="64" t="s">
        <v>234</v>
      </c>
      <c r="B80" s="7">
        <v>111322.78999999998</v>
      </c>
      <c r="C80" s="12"/>
      <c r="D80" s="77"/>
      <c r="E80" s="77"/>
      <c r="F80" s="77"/>
      <c r="G80" s="69">
        <v>111322.78999999998</v>
      </c>
      <c r="P80" s="7">
        <f>'[4]P&amp;L Compare to Hedge 2018'!$E$10-'[4]P&amp;L Compare to Hedge 2018'!$E$19</f>
        <v>111322.78999999998</v>
      </c>
      <c r="Q80" s="12"/>
      <c r="R80" s="77"/>
      <c r="S80" s="77"/>
      <c r="T80" s="77"/>
      <c r="U80" s="69">
        <f t="shared" si="6"/>
        <v>111322.78999999998</v>
      </c>
    </row>
    <row r="81" spans="1:24" ht="15.75" thickBot="1" x14ac:dyDescent="0.3">
      <c r="A81" s="64" t="s">
        <v>224</v>
      </c>
      <c r="B81" s="84"/>
      <c r="C81" s="84"/>
      <c r="D81" s="84"/>
      <c r="E81" s="84"/>
      <c r="F81" s="84"/>
      <c r="G81" s="85">
        <v>9048.32</v>
      </c>
      <c r="P81" s="84"/>
      <c r="Q81" s="84"/>
      <c r="R81" s="84"/>
      <c r="S81" s="84"/>
      <c r="T81" s="84"/>
      <c r="U81" s="85">
        <f>'[4]P&amp;L Compare to Hedge 2018'!$E$32</f>
        <v>9048.32</v>
      </c>
    </row>
    <row r="82" spans="1:24" ht="15.75" thickBot="1" x14ac:dyDescent="0.3">
      <c r="A82" s="64"/>
      <c r="B82" s="86">
        <v>267590.46639001457</v>
      </c>
      <c r="C82" s="86">
        <v>297564.93930651201</v>
      </c>
      <c r="D82" s="86">
        <v>17745.347600000328</v>
      </c>
      <c r="E82" s="86">
        <v>18231.118424999877</v>
      </c>
      <c r="F82" s="86">
        <v>-12656.860000000044</v>
      </c>
      <c r="G82" s="76">
        <v>579426.69172151852</v>
      </c>
      <c r="P82" s="86">
        <f>+P75-P76-P77-P78-P79+P80</f>
        <v>267590.46639001457</v>
      </c>
      <c r="Q82" s="86">
        <f t="shared" ref="Q82:T82" si="7">+Q75-Q76-Q77-Q78-Q79+Q80</f>
        <v>297564.93930651201</v>
      </c>
      <c r="R82" s="86">
        <f t="shared" si="7"/>
        <v>17745.347600000328</v>
      </c>
      <c r="S82" s="86">
        <f t="shared" si="7"/>
        <v>18231.118424999877</v>
      </c>
      <c r="T82" s="86">
        <f t="shared" si="7"/>
        <v>-12656.860000000044</v>
      </c>
      <c r="U82" s="76">
        <f>+U75-U76-U77-U78-U79-U81+U80</f>
        <v>579426.69172151852</v>
      </c>
    </row>
    <row r="83" spans="1:24" ht="15.75" thickTop="1" x14ac:dyDescent="0.25">
      <c r="A83" s="64"/>
      <c r="B83" s="87"/>
      <c r="C83" s="87"/>
      <c r="D83" s="87"/>
      <c r="E83" s="87"/>
      <c r="F83" s="87"/>
      <c r="G83" s="69"/>
      <c r="P83" s="87"/>
      <c r="Q83" s="87"/>
      <c r="R83" s="87"/>
      <c r="S83" s="87"/>
      <c r="T83" s="87"/>
      <c r="U83" s="69"/>
    </row>
    <row r="84" spans="1:24" x14ac:dyDescent="0.25">
      <c r="A84" s="64" t="s">
        <v>225</v>
      </c>
      <c r="B84" s="87">
        <v>281330.66382510529</v>
      </c>
      <c r="C84" s="87">
        <v>364001.01299999474</v>
      </c>
      <c r="D84" s="87">
        <v>17527.93</v>
      </c>
      <c r="E84" s="87">
        <v>16414.477200000103</v>
      </c>
      <c r="F84" s="87">
        <v>6239</v>
      </c>
      <c r="G84" s="69">
        <v>685513.08402510022</v>
      </c>
      <c r="P84" s="87">
        <f>'[1]April 2018'!$B$31</f>
        <v>281330.66382510529</v>
      </c>
      <c r="Q84" s="87">
        <f>'[1]April 2018'!$C$31</f>
        <v>334099.27399999852</v>
      </c>
      <c r="R84" s="87">
        <f>'[1]April 2018'!$D$31</f>
        <v>17527.93</v>
      </c>
      <c r="S84" s="87">
        <f>'[1]April 2018'!$E$31</f>
        <v>16414.477200000103</v>
      </c>
      <c r="T84" s="87">
        <f>'[1]April 2018'!$F$31</f>
        <v>6239</v>
      </c>
      <c r="U84" s="69">
        <f t="shared" ref="U84:U91" si="8">SUM(P84:T84)</f>
        <v>655611.34502510389</v>
      </c>
    </row>
    <row r="85" spans="1:24" x14ac:dyDescent="0.25">
      <c r="A85" s="64" t="s">
        <v>226</v>
      </c>
      <c r="B85" s="8">
        <v>1105.6999999999971</v>
      </c>
      <c r="C85" s="8">
        <v>1899.663196997717</v>
      </c>
      <c r="D85" s="8"/>
      <c r="E85" s="8"/>
      <c r="F85" s="8"/>
      <c r="G85" s="69">
        <v>3005.3631969977141</v>
      </c>
      <c r="P85" s="8">
        <v>1105.6999999999971</v>
      </c>
      <c r="Q85" s="8">
        <v>1899.663196997717</v>
      </c>
      <c r="R85" s="8"/>
      <c r="S85" s="8"/>
      <c r="T85" s="8"/>
      <c r="U85" s="69">
        <f t="shared" si="8"/>
        <v>3005.3631969977141</v>
      </c>
    </row>
    <row r="86" spans="1:24" x14ac:dyDescent="0.25">
      <c r="A86" s="64" t="s">
        <v>227</v>
      </c>
      <c r="B86" s="21">
        <v>42087.81</v>
      </c>
      <c r="C86" s="8">
        <v>0</v>
      </c>
      <c r="D86" s="8"/>
      <c r="E86" s="8"/>
      <c r="F86" s="8"/>
      <c r="G86" s="69">
        <v>42087.81</v>
      </c>
      <c r="P86" s="21">
        <f>[2]Apr!$B$10</f>
        <v>42087.81</v>
      </c>
      <c r="Q86" s="8">
        <v>0</v>
      </c>
      <c r="R86" s="8"/>
      <c r="S86" s="8"/>
      <c r="T86" s="8"/>
      <c r="U86" s="69">
        <f t="shared" si="8"/>
        <v>42087.81</v>
      </c>
    </row>
    <row r="87" spans="1:24" x14ac:dyDescent="0.25">
      <c r="A87" s="64" t="s">
        <v>228</v>
      </c>
      <c r="B87" s="8">
        <v>-590.9</v>
      </c>
      <c r="C87" s="8">
        <v>-45185.93</v>
      </c>
      <c r="D87" s="8"/>
      <c r="E87" s="8"/>
      <c r="F87" s="8"/>
      <c r="G87" s="69">
        <v>-45776.83</v>
      </c>
      <c r="P87" s="8">
        <v>-590.9</v>
      </c>
      <c r="Q87" s="8">
        <v>-45185.93</v>
      </c>
      <c r="R87" s="8"/>
      <c r="S87" s="8"/>
      <c r="T87" s="8"/>
      <c r="U87" s="69">
        <f t="shared" si="8"/>
        <v>-45776.83</v>
      </c>
    </row>
    <row r="88" spans="1:24" x14ac:dyDescent="0.25">
      <c r="A88" s="64" t="s">
        <v>229</v>
      </c>
      <c r="B88" s="8">
        <v>9250</v>
      </c>
      <c r="C88" s="8">
        <v>15494</v>
      </c>
      <c r="D88" s="8">
        <v>530</v>
      </c>
      <c r="E88" s="8"/>
      <c r="F88" s="8"/>
      <c r="G88" s="69">
        <v>25274</v>
      </c>
      <c r="P88" s="8">
        <v>9250</v>
      </c>
      <c r="Q88" s="8">
        <v>15494</v>
      </c>
      <c r="R88" s="8">
        <v>530</v>
      </c>
      <c r="S88" s="8"/>
      <c r="T88" s="8"/>
      <c r="U88" s="69">
        <f t="shared" si="8"/>
        <v>25274</v>
      </c>
    </row>
    <row r="89" spans="1:24" x14ac:dyDescent="0.25">
      <c r="A89" s="64" t="s">
        <v>37</v>
      </c>
      <c r="B89" s="12">
        <v>-18000</v>
      </c>
      <c r="C89" s="12">
        <v>-17000</v>
      </c>
      <c r="D89" s="8"/>
      <c r="E89" s="8"/>
      <c r="F89" s="8"/>
      <c r="G89" s="69">
        <v>-35000</v>
      </c>
      <c r="P89" s="12">
        <v>-18000</v>
      </c>
      <c r="Q89" s="12">
        <v>-17000</v>
      </c>
      <c r="R89" s="8"/>
      <c r="S89" s="8"/>
      <c r="T89" s="8"/>
      <c r="U89" s="69">
        <f t="shared" si="8"/>
        <v>-35000</v>
      </c>
    </row>
    <row r="90" spans="1:24" x14ac:dyDescent="0.25">
      <c r="A90" s="64" t="s">
        <v>230</v>
      </c>
      <c r="B90" s="8"/>
      <c r="C90" s="8"/>
      <c r="D90" s="8"/>
      <c r="E90" s="8"/>
      <c r="F90" s="8"/>
      <c r="G90" s="69">
        <v>0</v>
      </c>
      <c r="P90" s="8"/>
      <c r="Q90" s="8"/>
      <c r="R90" s="8"/>
      <c r="S90" s="8"/>
      <c r="T90" s="8"/>
      <c r="U90" s="69">
        <f t="shared" si="8"/>
        <v>0</v>
      </c>
    </row>
    <row r="91" spans="1:24" x14ac:dyDescent="0.25">
      <c r="A91" s="64" t="s">
        <v>235</v>
      </c>
      <c r="B91" s="87">
        <v>-4500</v>
      </c>
      <c r="C91" s="87"/>
      <c r="D91" s="87"/>
      <c r="E91" s="87"/>
      <c r="F91" s="87"/>
      <c r="G91" s="69">
        <v>-4500</v>
      </c>
      <c r="P91" s="87">
        <v>-4500</v>
      </c>
      <c r="Q91" s="87"/>
      <c r="R91" s="87"/>
      <c r="S91" s="87"/>
      <c r="T91" s="87"/>
      <c r="U91" s="69">
        <f t="shared" si="8"/>
        <v>-4500</v>
      </c>
      <c r="V91" s="58">
        <f>SUM(P92:T92)-U81</f>
        <v>-61274.996500574889</v>
      </c>
      <c r="W91" s="80">
        <f>U92-V91</f>
        <v>-8.1272446550428867E-9</v>
      </c>
      <c r="X91" s="58" t="s">
        <v>231</v>
      </c>
    </row>
    <row r="92" spans="1:24" x14ac:dyDescent="0.25">
      <c r="A92" s="64" t="s">
        <v>223</v>
      </c>
      <c r="B92" s="8">
        <v>-43092.807435090712</v>
      </c>
      <c r="C92" s="8">
        <v>-21643.806890480453</v>
      </c>
      <c r="D92" s="8">
        <v>-312.58239999967191</v>
      </c>
      <c r="E92" s="8">
        <v>1816.6412249997738</v>
      </c>
      <c r="F92" s="8">
        <v>-18895.860000000044</v>
      </c>
      <c r="G92" s="69">
        <v>-91176.735500579351</v>
      </c>
      <c r="P92" s="8">
        <f>+P82-SUM(P84:P91)</f>
        <v>-43092.807435090712</v>
      </c>
      <c r="Q92" s="8">
        <f t="shared" ref="Q92:T92" si="9">+Q82-SUM(Q84:Q91)</f>
        <v>8257.9321095157648</v>
      </c>
      <c r="R92" s="8">
        <f t="shared" si="9"/>
        <v>-312.58239999967191</v>
      </c>
      <c r="S92" s="8">
        <f t="shared" si="9"/>
        <v>1816.6412249997738</v>
      </c>
      <c r="T92" s="8">
        <f t="shared" si="9"/>
        <v>-18895.860000000044</v>
      </c>
      <c r="U92" s="69">
        <f>+U82-SUM(U84:U91)</f>
        <v>-61274.996500583016</v>
      </c>
      <c r="V92" s="58">
        <f>'[4]P&amp;L Compare to Hedge 2018'!$E$45</f>
        <v>-91176.724025141797</v>
      </c>
      <c r="W92" s="80">
        <f>U92-V92</f>
        <v>29901.727524558781</v>
      </c>
      <c r="X92" s="59" t="s">
        <v>233</v>
      </c>
    </row>
    <row r="93" spans="1:24" ht="15.75" thickBot="1" x14ac:dyDescent="0.3">
      <c r="A93" s="82" t="s">
        <v>232</v>
      </c>
      <c r="B93" s="89"/>
      <c r="C93" s="89"/>
      <c r="D93" s="89"/>
      <c r="E93" s="89"/>
      <c r="F93" s="89"/>
      <c r="G93" s="90"/>
      <c r="P93" s="89"/>
      <c r="Q93" s="89"/>
      <c r="R93" s="89"/>
      <c r="S93" s="89"/>
      <c r="T93" s="89"/>
      <c r="U93" s="90"/>
    </row>
    <row r="94" spans="1:24" ht="14.45" hidden="1" customHeight="1" x14ac:dyDescent="0.25">
      <c r="A94" s="118" t="s">
        <v>211</v>
      </c>
      <c r="D94" s="59"/>
      <c r="E94" s="59"/>
      <c r="F94" s="59"/>
      <c r="G94" s="59"/>
      <c r="P94" s="59"/>
      <c r="Q94" s="59"/>
      <c r="R94" s="59"/>
      <c r="S94" s="59"/>
      <c r="T94" s="59"/>
      <c r="U94" s="59"/>
    </row>
    <row r="95" spans="1:24" ht="14.45" hidden="1" customHeight="1" x14ac:dyDescent="0.25">
      <c r="A95" s="119" t="s">
        <v>212</v>
      </c>
      <c r="D95" s="59"/>
      <c r="E95" s="59"/>
      <c r="F95" s="59"/>
      <c r="G95" s="59"/>
      <c r="P95" s="59"/>
      <c r="Q95" s="59"/>
      <c r="R95" s="59"/>
      <c r="S95" s="59"/>
      <c r="T95" s="59"/>
      <c r="U95" s="59"/>
    </row>
    <row r="96" spans="1:24" ht="14.45" hidden="1" customHeight="1" x14ac:dyDescent="0.25">
      <c r="A96" s="120">
        <v>43251</v>
      </c>
      <c r="D96" s="59"/>
      <c r="E96" s="59"/>
      <c r="F96" s="59"/>
      <c r="G96" s="59"/>
      <c r="P96" s="59"/>
      <c r="Q96" s="59"/>
      <c r="R96" s="59"/>
      <c r="S96" s="59"/>
      <c r="T96" s="59"/>
      <c r="U96" s="59"/>
    </row>
    <row r="97" spans="1:22" s="68" customFormat="1" hidden="1" x14ac:dyDescent="0.25">
      <c r="A97" s="61"/>
      <c r="B97" s="62"/>
      <c r="C97" s="62"/>
      <c r="D97" s="62"/>
      <c r="E97" s="62"/>
      <c r="F97" s="62"/>
      <c r="G97" s="63"/>
      <c r="P97" s="62"/>
      <c r="Q97" s="62"/>
      <c r="R97" s="62"/>
      <c r="S97" s="62"/>
      <c r="T97" s="62"/>
      <c r="U97" s="63"/>
      <c r="V97" s="67"/>
    </row>
    <row r="98" spans="1:22" hidden="1" x14ac:dyDescent="0.25">
      <c r="A98" s="64"/>
      <c r="B98" s="65" t="s">
        <v>213</v>
      </c>
      <c r="C98" s="65" t="s">
        <v>214</v>
      </c>
      <c r="D98" s="65" t="s">
        <v>215</v>
      </c>
      <c r="E98" s="65" t="s">
        <v>216</v>
      </c>
      <c r="F98" s="65" t="s">
        <v>217</v>
      </c>
      <c r="G98" s="66" t="s">
        <v>218</v>
      </c>
      <c r="P98" s="65" t="s">
        <v>213</v>
      </c>
      <c r="Q98" s="65" t="s">
        <v>214</v>
      </c>
      <c r="R98" s="65" t="s">
        <v>215</v>
      </c>
      <c r="S98" s="65" t="s">
        <v>216</v>
      </c>
      <c r="T98" s="65" t="s">
        <v>217</v>
      </c>
      <c r="U98" s="66" t="s">
        <v>218</v>
      </c>
    </row>
    <row r="99" spans="1:22" hidden="1" x14ac:dyDescent="0.25">
      <c r="A99" s="64" t="s">
        <v>63</v>
      </c>
      <c r="B99" s="2"/>
      <c r="C99" s="2"/>
      <c r="D99" s="2"/>
      <c r="E99" s="2"/>
      <c r="F99" s="2"/>
      <c r="G99" s="69">
        <v>0</v>
      </c>
      <c r="P99" s="2"/>
      <c r="Q99" s="2"/>
      <c r="R99" s="2"/>
      <c r="S99" s="2"/>
      <c r="T99" s="2"/>
      <c r="U99" s="69">
        <f>SUM(P99:T99)</f>
        <v>0</v>
      </c>
    </row>
    <row r="100" spans="1:22" hidden="1" x14ac:dyDescent="0.25">
      <c r="A100" s="64" t="s">
        <v>219</v>
      </c>
      <c r="B100" s="2"/>
      <c r="C100" s="2"/>
      <c r="D100" s="2"/>
      <c r="E100" s="2"/>
      <c r="F100" s="2"/>
      <c r="G100" s="69">
        <v>0</v>
      </c>
      <c r="P100" s="2"/>
      <c r="Q100" s="2"/>
      <c r="R100" s="2"/>
      <c r="S100" s="2"/>
      <c r="T100" s="2"/>
      <c r="U100" s="69">
        <f>SUM(P100:T100)</f>
        <v>0</v>
      </c>
    </row>
    <row r="101" spans="1:22" hidden="1" x14ac:dyDescent="0.25">
      <c r="A101" s="64" t="s">
        <v>220</v>
      </c>
      <c r="B101" s="2"/>
      <c r="C101" s="2"/>
      <c r="D101" s="2"/>
      <c r="E101" s="2"/>
      <c r="F101" s="2"/>
      <c r="G101" s="69">
        <v>0</v>
      </c>
      <c r="P101" s="2"/>
      <c r="Q101" s="2"/>
      <c r="R101" s="2"/>
      <c r="S101" s="2"/>
      <c r="T101" s="2"/>
      <c r="U101" s="69">
        <f>SUM(P101:T101)</f>
        <v>0</v>
      </c>
    </row>
    <row r="102" spans="1:22" hidden="1" x14ac:dyDescent="0.25">
      <c r="A102" s="64" t="s">
        <v>221</v>
      </c>
      <c r="B102" s="2"/>
      <c r="C102" s="2"/>
      <c r="D102" s="2"/>
      <c r="E102" s="2"/>
      <c r="F102" s="2"/>
      <c r="G102" s="69">
        <v>0</v>
      </c>
      <c r="P102" s="2"/>
      <c r="Q102" s="2"/>
      <c r="R102" s="2"/>
      <c r="S102" s="2"/>
      <c r="T102" s="2"/>
      <c r="U102" s="69">
        <f>SUM(P102:T102)</f>
        <v>0</v>
      </c>
    </row>
    <row r="103" spans="1:22" hidden="1" x14ac:dyDescent="0.25">
      <c r="A103" s="64" t="s">
        <v>222</v>
      </c>
      <c r="B103" s="12"/>
      <c r="C103" s="12"/>
      <c r="D103" s="77"/>
      <c r="E103" s="77"/>
      <c r="F103" s="77"/>
      <c r="G103" s="69">
        <v>0</v>
      </c>
      <c r="P103" s="12"/>
      <c r="Q103" s="12"/>
      <c r="R103" s="77"/>
      <c r="S103" s="77"/>
      <c r="T103" s="77"/>
      <c r="U103" s="69">
        <f>SUM(P103:T103)</f>
        <v>0</v>
      </c>
    </row>
    <row r="104" spans="1:22" ht="15.75" hidden="1" thickBot="1" x14ac:dyDescent="0.3">
      <c r="A104" s="64" t="s">
        <v>224</v>
      </c>
      <c r="B104" s="84"/>
      <c r="C104" s="84"/>
      <c r="D104" s="84"/>
      <c r="E104" s="84"/>
      <c r="F104" s="84"/>
      <c r="G104" s="85"/>
      <c r="P104" s="84"/>
      <c r="Q104" s="84"/>
      <c r="R104" s="84"/>
      <c r="S104" s="84"/>
      <c r="T104" s="84"/>
      <c r="U104" s="85"/>
    </row>
    <row r="105" spans="1:22" ht="15.75" hidden="1" thickBot="1" x14ac:dyDescent="0.3">
      <c r="A105" s="64"/>
      <c r="B105" s="86">
        <v>0</v>
      </c>
      <c r="C105" s="86">
        <v>0</v>
      </c>
      <c r="D105" s="86">
        <v>0</v>
      </c>
      <c r="E105" s="86">
        <v>0</v>
      </c>
      <c r="F105" s="86">
        <v>0</v>
      </c>
      <c r="G105" s="76">
        <v>0</v>
      </c>
      <c r="P105" s="86">
        <f>+P99-P100-P101-P102-P103</f>
        <v>0</v>
      </c>
      <c r="Q105" s="86">
        <f>+Q99-Q100-Q101-Q102-Q103</f>
        <v>0</v>
      </c>
      <c r="R105" s="86">
        <f>+R99-R100-R101-R102-R103</f>
        <v>0</v>
      </c>
      <c r="S105" s="86">
        <f>+S99-S100-S101-S102-S103</f>
        <v>0</v>
      </c>
      <c r="T105" s="86">
        <f>+T99-T100-T101-T102-T103</f>
        <v>0</v>
      </c>
      <c r="U105" s="76">
        <f>+U99-U100-U101-U102-U103-U104</f>
        <v>0</v>
      </c>
    </row>
    <row r="106" spans="1:22" hidden="1" x14ac:dyDescent="0.25">
      <c r="A106" s="64"/>
      <c r="B106" s="87"/>
      <c r="C106" s="87"/>
      <c r="D106" s="87"/>
      <c r="E106" s="87"/>
      <c r="F106" s="87"/>
      <c r="G106" s="69"/>
      <c r="P106" s="87"/>
      <c r="Q106" s="87"/>
      <c r="R106" s="87"/>
      <c r="S106" s="87"/>
      <c r="T106" s="87"/>
      <c r="U106" s="69"/>
    </row>
    <row r="107" spans="1:22" hidden="1" x14ac:dyDescent="0.25">
      <c r="A107" s="64" t="s">
        <v>225</v>
      </c>
      <c r="B107" s="87"/>
      <c r="C107" s="87"/>
      <c r="D107" s="87"/>
      <c r="E107" s="87"/>
      <c r="F107" s="87"/>
      <c r="G107" s="69">
        <v>0</v>
      </c>
      <c r="P107" s="87"/>
      <c r="Q107" s="87"/>
      <c r="R107" s="87"/>
      <c r="S107" s="87"/>
      <c r="T107" s="87"/>
      <c r="U107" s="69">
        <f t="shared" ref="U107:U113" si="10">SUM(P107:T107)</f>
        <v>0</v>
      </c>
    </row>
    <row r="108" spans="1:22" hidden="1" x14ac:dyDescent="0.25">
      <c r="A108" s="64" t="s">
        <v>226</v>
      </c>
      <c r="B108" s="8"/>
      <c r="C108" s="8"/>
      <c r="D108" s="8"/>
      <c r="E108" s="8"/>
      <c r="F108" s="8"/>
      <c r="G108" s="69">
        <v>0</v>
      </c>
      <c r="P108" s="8"/>
      <c r="Q108" s="8"/>
      <c r="R108" s="8"/>
      <c r="S108" s="8"/>
      <c r="T108" s="8"/>
      <c r="U108" s="69">
        <f t="shared" si="10"/>
        <v>0</v>
      </c>
    </row>
    <row r="109" spans="1:22" hidden="1" x14ac:dyDescent="0.25">
      <c r="A109" s="64" t="s">
        <v>227</v>
      </c>
      <c r="B109" s="8"/>
      <c r="C109" s="8"/>
      <c r="D109" s="8"/>
      <c r="E109" s="8"/>
      <c r="F109" s="8"/>
      <c r="G109" s="69">
        <v>0</v>
      </c>
      <c r="P109" s="8"/>
      <c r="Q109" s="8"/>
      <c r="R109" s="8"/>
      <c r="S109" s="8"/>
      <c r="T109" s="8"/>
      <c r="U109" s="69">
        <f t="shared" si="10"/>
        <v>0</v>
      </c>
    </row>
    <row r="110" spans="1:22" hidden="1" x14ac:dyDescent="0.25">
      <c r="A110" s="64" t="s">
        <v>228</v>
      </c>
      <c r="B110" s="8"/>
      <c r="C110" s="8"/>
      <c r="D110" s="8"/>
      <c r="E110" s="8"/>
      <c r="F110" s="8"/>
      <c r="G110" s="69">
        <v>0</v>
      </c>
      <c r="P110" s="8"/>
      <c r="Q110" s="8"/>
      <c r="R110" s="8"/>
      <c r="S110" s="8"/>
      <c r="T110" s="8"/>
      <c r="U110" s="69">
        <f t="shared" si="10"/>
        <v>0</v>
      </c>
    </row>
    <row r="111" spans="1:22" hidden="1" x14ac:dyDescent="0.25">
      <c r="A111" s="64" t="s">
        <v>229</v>
      </c>
      <c r="B111" s="8"/>
      <c r="C111" s="8"/>
      <c r="D111" s="8"/>
      <c r="E111" s="8"/>
      <c r="F111" s="8"/>
      <c r="G111" s="69">
        <v>0</v>
      </c>
      <c r="P111" s="8"/>
      <c r="Q111" s="8"/>
      <c r="R111" s="8"/>
      <c r="S111" s="8"/>
      <c r="T111" s="8"/>
      <c r="U111" s="69">
        <f t="shared" si="10"/>
        <v>0</v>
      </c>
    </row>
    <row r="112" spans="1:22" hidden="1" x14ac:dyDescent="0.25">
      <c r="A112" s="64" t="s">
        <v>37</v>
      </c>
      <c r="B112" s="8"/>
      <c r="C112" s="8"/>
      <c r="D112" s="8"/>
      <c r="E112" s="8"/>
      <c r="F112" s="8"/>
      <c r="G112" s="69">
        <v>0</v>
      </c>
      <c r="P112" s="8"/>
      <c r="Q112" s="8"/>
      <c r="R112" s="8"/>
      <c r="S112" s="8"/>
      <c r="T112" s="8"/>
      <c r="U112" s="69">
        <f t="shared" si="10"/>
        <v>0</v>
      </c>
    </row>
    <row r="113" spans="1:24" hidden="1" x14ac:dyDescent="0.25">
      <c r="A113" s="64" t="s">
        <v>230</v>
      </c>
      <c r="B113" s="8"/>
      <c r="C113" s="8"/>
      <c r="D113" s="8"/>
      <c r="E113" s="8"/>
      <c r="F113" s="8"/>
      <c r="G113" s="69">
        <v>0</v>
      </c>
      <c r="P113" s="8"/>
      <c r="Q113" s="8"/>
      <c r="R113" s="8"/>
      <c r="S113" s="8"/>
      <c r="T113" s="8"/>
      <c r="U113" s="69">
        <f t="shared" si="10"/>
        <v>0</v>
      </c>
    </row>
    <row r="114" spans="1:24" hidden="1" x14ac:dyDescent="0.25">
      <c r="A114" s="64"/>
      <c r="B114" s="87"/>
      <c r="C114" s="87"/>
      <c r="D114" s="87"/>
      <c r="E114" s="87"/>
      <c r="F114" s="87"/>
      <c r="G114" s="69"/>
      <c r="P114" s="87"/>
      <c r="Q114" s="87"/>
      <c r="R114" s="87"/>
      <c r="S114" s="87"/>
      <c r="T114" s="87"/>
      <c r="U114" s="69"/>
      <c r="V114" s="58">
        <f>SUM(P115:T115)-U104</f>
        <v>0</v>
      </c>
      <c r="W114" s="80">
        <f>U115-V114</f>
        <v>0</v>
      </c>
      <c r="X114" s="58" t="s">
        <v>231</v>
      </c>
    </row>
    <row r="115" spans="1:24" hidden="1" x14ac:dyDescent="0.25">
      <c r="A115" s="64" t="s">
        <v>223</v>
      </c>
      <c r="B115" s="88"/>
      <c r="C115" s="88"/>
      <c r="D115" s="88"/>
      <c r="E115" s="88"/>
      <c r="F115" s="88"/>
      <c r="G115" s="92">
        <v>0</v>
      </c>
      <c r="P115" s="88"/>
      <c r="Q115" s="88"/>
      <c r="R115" s="88"/>
      <c r="S115" s="88"/>
      <c r="T115" s="88"/>
      <c r="U115" s="92">
        <f>+U105-U107-U108-U109-U110-U113-U111-U112</f>
        <v>0</v>
      </c>
      <c r="W115" s="80">
        <f>U115-V115</f>
        <v>0</v>
      </c>
      <c r="X115" s="59" t="s">
        <v>233</v>
      </c>
    </row>
    <row r="116" spans="1:24" ht="15.75" hidden="1" thickBot="1" x14ac:dyDescent="0.3">
      <c r="A116" s="82" t="s">
        <v>232</v>
      </c>
      <c r="B116" s="89"/>
      <c r="C116" s="89"/>
      <c r="D116" s="89"/>
      <c r="E116" s="89"/>
      <c r="F116" s="89"/>
      <c r="G116" s="90"/>
      <c r="P116" s="89"/>
      <c r="Q116" s="89"/>
      <c r="R116" s="89"/>
      <c r="S116" s="89"/>
      <c r="T116" s="89"/>
      <c r="U116" s="90"/>
    </row>
    <row r="117" spans="1:24" ht="14.45" hidden="1" customHeight="1" x14ac:dyDescent="0.25">
      <c r="A117" s="118" t="s">
        <v>211</v>
      </c>
      <c r="D117" s="59"/>
      <c r="E117" s="59"/>
      <c r="F117" s="59"/>
      <c r="G117" s="59"/>
      <c r="P117" s="59"/>
      <c r="Q117" s="59"/>
      <c r="R117" s="59"/>
      <c r="S117" s="59"/>
      <c r="T117" s="59"/>
      <c r="U117" s="59"/>
    </row>
    <row r="118" spans="1:24" ht="14.45" hidden="1" customHeight="1" x14ac:dyDescent="0.25">
      <c r="A118" s="119" t="s">
        <v>212</v>
      </c>
      <c r="D118" s="59"/>
      <c r="E118" s="59"/>
      <c r="F118" s="59"/>
      <c r="G118" s="59"/>
      <c r="P118" s="59"/>
      <c r="Q118" s="59"/>
      <c r="R118" s="59"/>
      <c r="S118" s="59"/>
      <c r="T118" s="59"/>
      <c r="U118" s="59"/>
    </row>
    <row r="119" spans="1:24" ht="14.45" hidden="1" customHeight="1" x14ac:dyDescent="0.25">
      <c r="A119" s="120">
        <v>43281</v>
      </c>
      <c r="D119" s="59"/>
      <c r="E119" s="59"/>
      <c r="F119" s="59"/>
      <c r="G119" s="59"/>
      <c r="P119" s="59"/>
      <c r="Q119" s="59"/>
      <c r="R119" s="59"/>
      <c r="S119" s="59"/>
      <c r="T119" s="59"/>
      <c r="U119" s="59"/>
    </row>
    <row r="120" spans="1:24" s="68" customFormat="1" hidden="1" x14ac:dyDescent="0.25">
      <c r="A120" s="61"/>
      <c r="B120" s="62"/>
      <c r="C120" s="62"/>
      <c r="D120" s="62"/>
      <c r="E120" s="62"/>
      <c r="F120" s="62"/>
      <c r="G120" s="63"/>
      <c r="P120" s="62"/>
      <c r="Q120" s="62"/>
      <c r="R120" s="62"/>
      <c r="S120" s="62"/>
      <c r="T120" s="62"/>
      <c r="U120" s="63"/>
      <c r="V120" s="67"/>
    </row>
    <row r="121" spans="1:24" hidden="1" x14ac:dyDescent="0.25">
      <c r="A121" s="64"/>
      <c r="B121" s="65" t="s">
        <v>213</v>
      </c>
      <c r="C121" s="65" t="s">
        <v>214</v>
      </c>
      <c r="D121" s="65" t="s">
        <v>215</v>
      </c>
      <c r="E121" s="65" t="s">
        <v>216</v>
      </c>
      <c r="F121" s="65" t="s">
        <v>217</v>
      </c>
      <c r="G121" s="66" t="s">
        <v>218</v>
      </c>
      <c r="P121" s="65" t="s">
        <v>213</v>
      </c>
      <c r="Q121" s="65" t="s">
        <v>214</v>
      </c>
      <c r="R121" s="65" t="s">
        <v>215</v>
      </c>
      <c r="S121" s="65" t="s">
        <v>216</v>
      </c>
      <c r="T121" s="65" t="s">
        <v>217</v>
      </c>
      <c r="U121" s="66" t="s">
        <v>218</v>
      </c>
    </row>
    <row r="122" spans="1:24" hidden="1" x14ac:dyDescent="0.25">
      <c r="A122" s="64" t="s">
        <v>63</v>
      </c>
      <c r="B122" s="2"/>
      <c r="C122" s="2"/>
      <c r="D122" s="2"/>
      <c r="E122" s="2"/>
      <c r="F122" s="2"/>
      <c r="G122" s="69">
        <v>0</v>
      </c>
      <c r="P122" s="2"/>
      <c r="Q122" s="2"/>
      <c r="R122" s="2"/>
      <c r="S122" s="2"/>
      <c r="T122" s="2"/>
      <c r="U122" s="69">
        <f>SUM(P122:T122)</f>
        <v>0</v>
      </c>
    </row>
    <row r="123" spans="1:24" hidden="1" x14ac:dyDescent="0.25">
      <c r="A123" s="64" t="s">
        <v>219</v>
      </c>
      <c r="B123" s="2"/>
      <c r="C123" s="2"/>
      <c r="D123" s="2"/>
      <c r="E123" s="2"/>
      <c r="F123" s="2"/>
      <c r="G123" s="69">
        <v>0</v>
      </c>
      <c r="P123" s="2"/>
      <c r="Q123" s="2"/>
      <c r="R123" s="2"/>
      <c r="S123" s="2"/>
      <c r="T123" s="2"/>
      <c r="U123" s="69">
        <f>SUM(P123:T123)</f>
        <v>0</v>
      </c>
    </row>
    <row r="124" spans="1:24" hidden="1" x14ac:dyDescent="0.25">
      <c r="A124" s="64" t="s">
        <v>220</v>
      </c>
      <c r="B124" s="2"/>
      <c r="C124" s="2"/>
      <c r="D124" s="2"/>
      <c r="E124" s="2"/>
      <c r="F124" s="2"/>
      <c r="G124" s="69">
        <v>0</v>
      </c>
      <c r="P124" s="2"/>
      <c r="Q124" s="2"/>
      <c r="R124" s="2"/>
      <c r="S124" s="2"/>
      <c r="T124" s="2"/>
      <c r="U124" s="69">
        <f>SUM(P124:T124)</f>
        <v>0</v>
      </c>
    </row>
    <row r="125" spans="1:24" hidden="1" x14ac:dyDescent="0.25">
      <c r="A125" s="64" t="s">
        <v>221</v>
      </c>
      <c r="B125" s="2"/>
      <c r="C125" s="2"/>
      <c r="D125" s="2"/>
      <c r="E125" s="2"/>
      <c r="F125" s="2"/>
      <c r="G125" s="69">
        <v>0</v>
      </c>
      <c r="P125" s="2"/>
      <c r="Q125" s="2"/>
      <c r="R125" s="2"/>
      <c r="S125" s="2"/>
      <c r="T125" s="2"/>
      <c r="U125" s="69">
        <f>SUM(P125:T125)</f>
        <v>0</v>
      </c>
    </row>
    <row r="126" spans="1:24" hidden="1" x14ac:dyDescent="0.25">
      <c r="A126" s="64" t="s">
        <v>222</v>
      </c>
      <c r="B126" s="12"/>
      <c r="C126" s="12"/>
      <c r="D126" s="77"/>
      <c r="E126" s="77"/>
      <c r="F126" s="77"/>
      <c r="G126" s="69">
        <v>0</v>
      </c>
      <c r="P126" s="12"/>
      <c r="Q126" s="12"/>
      <c r="R126" s="77"/>
      <c r="S126" s="77"/>
      <c r="T126" s="77"/>
      <c r="U126" s="69">
        <f>SUM(P126:T126)</f>
        <v>0</v>
      </c>
    </row>
    <row r="127" spans="1:24" ht="15.75" hidden="1" thickBot="1" x14ac:dyDescent="0.3">
      <c r="A127" s="64" t="s">
        <v>224</v>
      </c>
      <c r="B127" s="84"/>
      <c r="C127" s="84"/>
      <c r="D127" s="84"/>
      <c r="E127" s="84"/>
      <c r="F127" s="84"/>
      <c r="G127" s="85"/>
      <c r="P127" s="84"/>
      <c r="Q127" s="84"/>
      <c r="R127" s="84"/>
      <c r="S127" s="84"/>
      <c r="T127" s="84"/>
      <c r="U127" s="85"/>
    </row>
    <row r="128" spans="1:24" ht="15.75" hidden="1" thickBot="1" x14ac:dyDescent="0.3">
      <c r="A128" s="64"/>
      <c r="B128" s="86">
        <v>0</v>
      </c>
      <c r="C128" s="86">
        <v>0</v>
      </c>
      <c r="D128" s="86">
        <v>0</v>
      </c>
      <c r="E128" s="86">
        <v>0</v>
      </c>
      <c r="F128" s="86">
        <v>0</v>
      </c>
      <c r="G128" s="76">
        <v>0</v>
      </c>
      <c r="P128" s="86">
        <f>+P122-P123-P124-P125-P126</f>
        <v>0</v>
      </c>
      <c r="Q128" s="86">
        <f>+Q122-Q123-Q124-Q125-Q126</f>
        <v>0</v>
      </c>
      <c r="R128" s="86">
        <f>+R122-R123-R124-R125-R126</f>
        <v>0</v>
      </c>
      <c r="S128" s="86">
        <f>+S122-S123-S124-S125-S126</f>
        <v>0</v>
      </c>
      <c r="T128" s="86">
        <f>+T122-T123-T124-T125-T126</f>
        <v>0</v>
      </c>
      <c r="U128" s="76">
        <f>+U122-U123-U124-U125-U126-U127</f>
        <v>0</v>
      </c>
    </row>
    <row r="129" spans="1:24" hidden="1" x14ac:dyDescent="0.25">
      <c r="A129" s="64"/>
      <c r="B129" s="87"/>
      <c r="C129" s="87"/>
      <c r="D129" s="87"/>
      <c r="E129" s="87"/>
      <c r="F129" s="87"/>
      <c r="G129" s="69"/>
      <c r="P129" s="87"/>
      <c r="Q129" s="87"/>
      <c r="R129" s="87"/>
      <c r="S129" s="87"/>
      <c r="T129" s="87"/>
      <c r="U129" s="69"/>
    </row>
    <row r="130" spans="1:24" hidden="1" x14ac:dyDescent="0.25">
      <c r="A130" s="64" t="s">
        <v>225</v>
      </c>
      <c r="B130" s="87"/>
      <c r="C130" s="87"/>
      <c r="D130" s="87"/>
      <c r="E130" s="87"/>
      <c r="F130" s="87"/>
      <c r="G130" s="69">
        <v>0</v>
      </c>
      <c r="P130" s="87"/>
      <c r="Q130" s="87"/>
      <c r="R130" s="87"/>
      <c r="S130" s="87"/>
      <c r="T130" s="87"/>
      <c r="U130" s="69">
        <f t="shared" ref="U130:U136" si="11">SUM(P130:T130)</f>
        <v>0</v>
      </c>
    </row>
    <row r="131" spans="1:24" hidden="1" x14ac:dyDescent="0.25">
      <c r="A131" s="64" t="s">
        <v>226</v>
      </c>
      <c r="B131" s="8"/>
      <c r="C131" s="8"/>
      <c r="D131" s="8"/>
      <c r="E131" s="8"/>
      <c r="F131" s="8"/>
      <c r="G131" s="69">
        <v>0</v>
      </c>
      <c r="P131" s="8"/>
      <c r="Q131" s="8"/>
      <c r="R131" s="8"/>
      <c r="S131" s="8"/>
      <c r="T131" s="8"/>
      <c r="U131" s="69">
        <f t="shared" si="11"/>
        <v>0</v>
      </c>
    </row>
    <row r="132" spans="1:24" hidden="1" x14ac:dyDescent="0.25">
      <c r="A132" s="64" t="s">
        <v>227</v>
      </c>
      <c r="B132" s="8"/>
      <c r="C132" s="8"/>
      <c r="D132" s="8"/>
      <c r="E132" s="8"/>
      <c r="F132" s="8"/>
      <c r="G132" s="69">
        <v>0</v>
      </c>
      <c r="P132" s="8"/>
      <c r="Q132" s="8"/>
      <c r="R132" s="8"/>
      <c r="S132" s="8"/>
      <c r="T132" s="8"/>
      <c r="U132" s="69">
        <f t="shared" si="11"/>
        <v>0</v>
      </c>
    </row>
    <row r="133" spans="1:24" hidden="1" x14ac:dyDescent="0.25">
      <c r="A133" s="64" t="s">
        <v>228</v>
      </c>
      <c r="B133" s="8"/>
      <c r="C133" s="8"/>
      <c r="D133" s="8"/>
      <c r="E133" s="8"/>
      <c r="F133" s="8"/>
      <c r="G133" s="69">
        <v>0</v>
      </c>
      <c r="P133" s="8"/>
      <c r="Q133" s="8"/>
      <c r="R133" s="8"/>
      <c r="S133" s="8"/>
      <c r="T133" s="8"/>
      <c r="U133" s="69">
        <f t="shared" si="11"/>
        <v>0</v>
      </c>
    </row>
    <row r="134" spans="1:24" hidden="1" x14ac:dyDescent="0.25">
      <c r="A134" s="64" t="s">
        <v>229</v>
      </c>
      <c r="B134" s="8"/>
      <c r="C134" s="8"/>
      <c r="D134" s="8"/>
      <c r="E134" s="8"/>
      <c r="F134" s="8"/>
      <c r="G134" s="69">
        <v>0</v>
      </c>
      <c r="P134" s="8"/>
      <c r="Q134" s="8"/>
      <c r="R134" s="8"/>
      <c r="S134" s="8"/>
      <c r="T134" s="8"/>
      <c r="U134" s="69">
        <f t="shared" si="11"/>
        <v>0</v>
      </c>
    </row>
    <row r="135" spans="1:24" hidden="1" x14ac:dyDescent="0.25">
      <c r="A135" s="64" t="s">
        <v>37</v>
      </c>
      <c r="B135" s="8"/>
      <c r="C135" s="8"/>
      <c r="D135" s="8"/>
      <c r="E135" s="8"/>
      <c r="F135" s="8"/>
      <c r="G135" s="69">
        <v>0</v>
      </c>
      <c r="P135" s="8"/>
      <c r="Q135" s="8"/>
      <c r="R135" s="8"/>
      <c r="S135" s="8"/>
      <c r="T135" s="8"/>
      <c r="U135" s="69">
        <f t="shared" si="11"/>
        <v>0</v>
      </c>
    </row>
    <row r="136" spans="1:24" hidden="1" x14ac:dyDescent="0.25">
      <c r="A136" s="64" t="s">
        <v>230</v>
      </c>
      <c r="B136" s="8"/>
      <c r="C136" s="8"/>
      <c r="D136" s="8"/>
      <c r="E136" s="8"/>
      <c r="F136" s="8"/>
      <c r="G136" s="69">
        <v>0</v>
      </c>
      <c r="P136" s="8"/>
      <c r="Q136" s="8"/>
      <c r="R136" s="8"/>
      <c r="S136" s="8"/>
      <c r="T136" s="8"/>
      <c r="U136" s="69">
        <f t="shared" si="11"/>
        <v>0</v>
      </c>
    </row>
    <row r="137" spans="1:24" hidden="1" x14ac:dyDescent="0.25">
      <c r="A137" s="64"/>
      <c r="B137" s="87"/>
      <c r="C137" s="87"/>
      <c r="D137" s="87"/>
      <c r="E137" s="87"/>
      <c r="F137" s="87"/>
      <c r="G137" s="69"/>
      <c r="P137" s="87"/>
      <c r="Q137" s="87"/>
      <c r="R137" s="87"/>
      <c r="S137" s="87"/>
      <c r="T137" s="87"/>
      <c r="U137" s="69"/>
      <c r="V137" s="58">
        <f>SUM(P138:T138)-U127</f>
        <v>0</v>
      </c>
      <c r="W137" s="80">
        <f>U138-V137</f>
        <v>0</v>
      </c>
      <c r="X137" s="58" t="s">
        <v>231</v>
      </c>
    </row>
    <row r="138" spans="1:24" hidden="1" x14ac:dyDescent="0.25">
      <c r="A138" s="64" t="s">
        <v>223</v>
      </c>
      <c r="B138" s="88"/>
      <c r="C138" s="88"/>
      <c r="D138" s="88"/>
      <c r="E138" s="88"/>
      <c r="F138" s="88"/>
      <c r="G138" s="92">
        <v>0</v>
      </c>
      <c r="P138" s="88"/>
      <c r="Q138" s="88"/>
      <c r="R138" s="88"/>
      <c r="S138" s="88"/>
      <c r="T138" s="88"/>
      <c r="U138" s="92">
        <f>+U128-U130-U131-U132-U133-U136-U134-U135</f>
        <v>0</v>
      </c>
      <c r="W138" s="80">
        <f>U138-V138</f>
        <v>0</v>
      </c>
      <c r="X138" s="59" t="s">
        <v>233</v>
      </c>
    </row>
    <row r="139" spans="1:24" ht="15.75" hidden="1" thickBot="1" x14ac:dyDescent="0.3">
      <c r="A139" s="82" t="s">
        <v>232</v>
      </c>
      <c r="B139" s="89"/>
      <c r="C139" s="89"/>
      <c r="D139" s="89"/>
      <c r="E139" s="89"/>
      <c r="F139" s="89"/>
      <c r="G139" s="90"/>
      <c r="P139" s="89"/>
      <c r="Q139" s="89"/>
      <c r="R139" s="89"/>
      <c r="S139" s="89"/>
      <c r="T139" s="89"/>
      <c r="U139" s="90"/>
    </row>
    <row r="140" spans="1:24" ht="14.45" hidden="1" customHeight="1" x14ac:dyDescent="0.25">
      <c r="A140" s="118" t="s">
        <v>211</v>
      </c>
      <c r="D140" s="59"/>
      <c r="E140" s="59"/>
      <c r="F140" s="59"/>
      <c r="G140" s="59"/>
      <c r="P140" s="59"/>
      <c r="Q140" s="59"/>
      <c r="R140" s="59"/>
      <c r="S140" s="59"/>
      <c r="T140" s="59"/>
      <c r="U140" s="59"/>
    </row>
    <row r="141" spans="1:24" ht="14.45" hidden="1" customHeight="1" x14ac:dyDescent="0.25">
      <c r="A141" s="119" t="s">
        <v>212</v>
      </c>
      <c r="D141" s="59"/>
      <c r="E141" s="59"/>
      <c r="F141" s="59"/>
      <c r="G141" s="59"/>
      <c r="P141" s="59"/>
      <c r="Q141" s="59"/>
      <c r="R141" s="59"/>
      <c r="S141" s="59"/>
      <c r="T141" s="59"/>
      <c r="U141" s="59"/>
    </row>
    <row r="142" spans="1:24" ht="14.45" hidden="1" customHeight="1" x14ac:dyDescent="0.25">
      <c r="A142" s="120">
        <v>43312</v>
      </c>
      <c r="D142" s="59"/>
      <c r="E142" s="59"/>
      <c r="F142" s="59"/>
      <c r="G142" s="59"/>
      <c r="P142" s="59"/>
      <c r="Q142" s="59"/>
      <c r="R142" s="59"/>
      <c r="S142" s="59"/>
      <c r="T142" s="59"/>
      <c r="U142" s="59"/>
    </row>
    <row r="143" spans="1:24" s="68" customFormat="1" hidden="1" x14ac:dyDescent="0.25">
      <c r="A143" s="61"/>
      <c r="B143" s="62"/>
      <c r="C143" s="62"/>
      <c r="D143" s="62"/>
      <c r="E143" s="62"/>
      <c r="F143" s="62"/>
      <c r="G143" s="63"/>
      <c r="P143" s="62"/>
      <c r="Q143" s="62"/>
      <c r="R143" s="62"/>
      <c r="S143" s="62"/>
      <c r="T143" s="62"/>
      <c r="U143" s="63"/>
      <c r="V143" s="67"/>
    </row>
    <row r="144" spans="1:24" hidden="1" x14ac:dyDescent="0.25">
      <c r="A144" s="64"/>
      <c r="B144" s="65" t="s">
        <v>213</v>
      </c>
      <c r="C144" s="65" t="s">
        <v>214</v>
      </c>
      <c r="D144" s="65" t="s">
        <v>215</v>
      </c>
      <c r="E144" s="65" t="s">
        <v>216</v>
      </c>
      <c r="F144" s="65" t="s">
        <v>217</v>
      </c>
      <c r="G144" s="66" t="s">
        <v>218</v>
      </c>
      <c r="P144" s="65" t="s">
        <v>213</v>
      </c>
      <c r="Q144" s="65" t="s">
        <v>214</v>
      </c>
      <c r="R144" s="65" t="s">
        <v>215</v>
      </c>
      <c r="S144" s="65" t="s">
        <v>216</v>
      </c>
      <c r="T144" s="65" t="s">
        <v>217</v>
      </c>
      <c r="U144" s="66" t="s">
        <v>218</v>
      </c>
    </row>
    <row r="145" spans="1:24" hidden="1" x14ac:dyDescent="0.25">
      <c r="A145" s="64" t="s">
        <v>63</v>
      </c>
      <c r="B145" s="2"/>
      <c r="C145" s="2"/>
      <c r="D145" s="2"/>
      <c r="E145" s="2"/>
      <c r="F145" s="2"/>
      <c r="G145" s="69">
        <v>0</v>
      </c>
      <c r="P145" s="2"/>
      <c r="Q145" s="2"/>
      <c r="R145" s="2"/>
      <c r="S145" s="2"/>
      <c r="T145" s="2"/>
      <c r="U145" s="69">
        <f>SUM(P145:T145)</f>
        <v>0</v>
      </c>
    </row>
    <row r="146" spans="1:24" hidden="1" x14ac:dyDescent="0.25">
      <c r="A146" s="64" t="s">
        <v>219</v>
      </c>
      <c r="B146" s="2"/>
      <c r="C146" s="2"/>
      <c r="D146" s="2"/>
      <c r="E146" s="2"/>
      <c r="F146" s="2"/>
      <c r="G146" s="69">
        <v>0</v>
      </c>
      <c r="P146" s="2"/>
      <c r="Q146" s="2"/>
      <c r="R146" s="2"/>
      <c r="S146" s="2"/>
      <c r="T146" s="2"/>
      <c r="U146" s="69">
        <f>SUM(P146:T146)</f>
        <v>0</v>
      </c>
    </row>
    <row r="147" spans="1:24" hidden="1" x14ac:dyDescent="0.25">
      <c r="A147" s="64" t="s">
        <v>220</v>
      </c>
      <c r="B147" s="2"/>
      <c r="C147" s="2"/>
      <c r="D147" s="2"/>
      <c r="E147" s="2"/>
      <c r="F147" s="2"/>
      <c r="G147" s="69">
        <v>0</v>
      </c>
      <c r="P147" s="2"/>
      <c r="Q147" s="2"/>
      <c r="R147" s="2"/>
      <c r="S147" s="2"/>
      <c r="T147" s="2"/>
      <c r="U147" s="69">
        <f>SUM(P147:T147)</f>
        <v>0</v>
      </c>
    </row>
    <row r="148" spans="1:24" hidden="1" x14ac:dyDescent="0.25">
      <c r="A148" s="64" t="s">
        <v>221</v>
      </c>
      <c r="B148" s="2"/>
      <c r="C148" s="2"/>
      <c r="D148" s="2"/>
      <c r="E148" s="2"/>
      <c r="F148" s="2"/>
      <c r="G148" s="69">
        <v>0</v>
      </c>
      <c r="P148" s="2"/>
      <c r="Q148" s="2"/>
      <c r="R148" s="2"/>
      <c r="S148" s="2"/>
      <c r="T148" s="2"/>
      <c r="U148" s="69">
        <f>SUM(P148:T148)</f>
        <v>0</v>
      </c>
    </row>
    <row r="149" spans="1:24" hidden="1" x14ac:dyDescent="0.25">
      <c r="A149" s="64" t="s">
        <v>222</v>
      </c>
      <c r="B149" s="12"/>
      <c r="C149" s="12"/>
      <c r="D149" s="77"/>
      <c r="E149" s="77"/>
      <c r="F149" s="77"/>
      <c r="G149" s="69">
        <v>0</v>
      </c>
      <c r="P149" s="12"/>
      <c r="Q149" s="12"/>
      <c r="R149" s="77"/>
      <c r="S149" s="77"/>
      <c r="T149" s="77"/>
      <c r="U149" s="69">
        <f>SUM(P149:T149)</f>
        <v>0</v>
      </c>
    </row>
    <row r="150" spans="1:24" ht="15.75" hidden="1" thickBot="1" x14ac:dyDescent="0.3">
      <c r="A150" s="64" t="s">
        <v>224</v>
      </c>
      <c r="B150" s="84"/>
      <c r="C150" s="84"/>
      <c r="D150" s="84"/>
      <c r="E150" s="84"/>
      <c r="F150" s="84"/>
      <c r="G150" s="85"/>
      <c r="P150" s="84"/>
      <c r="Q150" s="84"/>
      <c r="R150" s="84"/>
      <c r="S150" s="84"/>
      <c r="T150" s="84"/>
      <c r="U150" s="85"/>
    </row>
    <row r="151" spans="1:24" ht="15.75" hidden="1" thickBot="1" x14ac:dyDescent="0.3">
      <c r="A151" s="64"/>
      <c r="B151" s="86">
        <v>0</v>
      </c>
      <c r="C151" s="86">
        <v>0</v>
      </c>
      <c r="D151" s="86">
        <v>0</v>
      </c>
      <c r="E151" s="86">
        <v>0</v>
      </c>
      <c r="F151" s="86">
        <v>0</v>
      </c>
      <c r="G151" s="76">
        <v>0</v>
      </c>
      <c r="P151" s="86">
        <f>+P145-P146-P147-P148-P149</f>
        <v>0</v>
      </c>
      <c r="Q151" s="86">
        <f>+Q145-Q146-Q147-Q148-Q149</f>
        <v>0</v>
      </c>
      <c r="R151" s="86">
        <f>+R145-R146-R147-R148-R149</f>
        <v>0</v>
      </c>
      <c r="S151" s="86">
        <f>+S145-S146-S147-S148-S149</f>
        <v>0</v>
      </c>
      <c r="T151" s="86">
        <f>+T145-T146-T147-T148-T149</f>
        <v>0</v>
      </c>
      <c r="U151" s="76">
        <f>+U145-U146-U147-U148-U149-U150</f>
        <v>0</v>
      </c>
    </row>
    <row r="152" spans="1:24" hidden="1" x14ac:dyDescent="0.25">
      <c r="A152" s="64"/>
      <c r="B152" s="87"/>
      <c r="C152" s="87"/>
      <c r="D152" s="87"/>
      <c r="E152" s="87"/>
      <c r="F152" s="87"/>
      <c r="G152" s="69"/>
      <c r="P152" s="87"/>
      <c r="Q152" s="87"/>
      <c r="R152" s="87"/>
      <c r="S152" s="87"/>
      <c r="T152" s="87"/>
      <c r="U152" s="69"/>
    </row>
    <row r="153" spans="1:24" hidden="1" x14ac:dyDescent="0.25">
      <c r="A153" s="64" t="s">
        <v>225</v>
      </c>
      <c r="B153" s="87"/>
      <c r="C153" s="87"/>
      <c r="D153" s="87"/>
      <c r="E153" s="87"/>
      <c r="F153" s="87"/>
      <c r="G153" s="69">
        <v>0</v>
      </c>
      <c r="P153" s="87"/>
      <c r="Q153" s="87"/>
      <c r="R153" s="87"/>
      <c r="S153" s="87"/>
      <c r="T153" s="87"/>
      <c r="U153" s="69">
        <f t="shared" ref="U153:U159" si="12">SUM(P153:T153)</f>
        <v>0</v>
      </c>
    </row>
    <row r="154" spans="1:24" hidden="1" x14ac:dyDescent="0.25">
      <c r="A154" s="64" t="s">
        <v>226</v>
      </c>
      <c r="B154" s="8"/>
      <c r="C154" s="8"/>
      <c r="D154" s="8"/>
      <c r="E154" s="8"/>
      <c r="F154" s="8"/>
      <c r="G154" s="69">
        <v>0</v>
      </c>
      <c r="P154" s="8"/>
      <c r="Q154" s="8"/>
      <c r="R154" s="8"/>
      <c r="S154" s="8"/>
      <c r="T154" s="8"/>
      <c r="U154" s="69">
        <f t="shared" si="12"/>
        <v>0</v>
      </c>
    </row>
    <row r="155" spans="1:24" hidden="1" x14ac:dyDescent="0.25">
      <c r="A155" s="64" t="s">
        <v>227</v>
      </c>
      <c r="B155" s="8"/>
      <c r="C155" s="8"/>
      <c r="D155" s="8"/>
      <c r="E155" s="8"/>
      <c r="F155" s="8"/>
      <c r="G155" s="69">
        <v>0</v>
      </c>
      <c r="P155" s="8"/>
      <c r="Q155" s="8"/>
      <c r="R155" s="8"/>
      <c r="S155" s="8"/>
      <c r="T155" s="8"/>
      <c r="U155" s="69">
        <f t="shared" si="12"/>
        <v>0</v>
      </c>
    </row>
    <row r="156" spans="1:24" hidden="1" x14ac:dyDescent="0.25">
      <c r="A156" s="64" t="s">
        <v>228</v>
      </c>
      <c r="B156" s="8"/>
      <c r="C156" s="8"/>
      <c r="D156" s="8"/>
      <c r="E156" s="8"/>
      <c r="F156" s="8"/>
      <c r="G156" s="69">
        <v>0</v>
      </c>
      <c r="P156" s="8"/>
      <c r="Q156" s="8"/>
      <c r="R156" s="8"/>
      <c r="S156" s="8"/>
      <c r="T156" s="8"/>
      <c r="U156" s="69">
        <f t="shared" si="12"/>
        <v>0</v>
      </c>
    </row>
    <row r="157" spans="1:24" hidden="1" x14ac:dyDescent="0.25">
      <c r="A157" s="64" t="s">
        <v>229</v>
      </c>
      <c r="B157" s="8"/>
      <c r="C157" s="8"/>
      <c r="D157" s="8"/>
      <c r="E157" s="8"/>
      <c r="F157" s="8"/>
      <c r="G157" s="69">
        <v>0</v>
      </c>
      <c r="P157" s="8"/>
      <c r="Q157" s="8"/>
      <c r="R157" s="8"/>
      <c r="S157" s="8"/>
      <c r="T157" s="8"/>
      <c r="U157" s="69">
        <f t="shared" si="12"/>
        <v>0</v>
      </c>
    </row>
    <row r="158" spans="1:24" hidden="1" x14ac:dyDescent="0.25">
      <c r="A158" s="64" t="s">
        <v>37</v>
      </c>
      <c r="B158" s="8"/>
      <c r="C158" s="8"/>
      <c r="D158" s="8"/>
      <c r="E158" s="8"/>
      <c r="F158" s="8"/>
      <c r="G158" s="69">
        <v>0</v>
      </c>
      <c r="P158" s="8"/>
      <c r="Q158" s="8"/>
      <c r="R158" s="8"/>
      <c r="S158" s="8"/>
      <c r="T158" s="8"/>
      <c r="U158" s="69">
        <f t="shared" si="12"/>
        <v>0</v>
      </c>
    </row>
    <row r="159" spans="1:24" hidden="1" x14ac:dyDescent="0.25">
      <c r="A159" s="64" t="s">
        <v>230</v>
      </c>
      <c r="B159" s="8"/>
      <c r="C159" s="8"/>
      <c r="D159" s="8"/>
      <c r="E159" s="8"/>
      <c r="F159" s="8"/>
      <c r="G159" s="69">
        <v>0</v>
      </c>
      <c r="P159" s="8"/>
      <c r="Q159" s="8"/>
      <c r="R159" s="8"/>
      <c r="S159" s="8"/>
      <c r="T159" s="8"/>
      <c r="U159" s="69">
        <f t="shared" si="12"/>
        <v>0</v>
      </c>
    </row>
    <row r="160" spans="1:24" hidden="1" x14ac:dyDescent="0.25">
      <c r="A160" s="64"/>
      <c r="B160" s="87"/>
      <c r="C160" s="87"/>
      <c r="D160" s="87"/>
      <c r="E160" s="87"/>
      <c r="F160" s="87"/>
      <c r="G160" s="69"/>
      <c r="P160" s="87"/>
      <c r="Q160" s="87"/>
      <c r="R160" s="87"/>
      <c r="S160" s="87"/>
      <c r="T160" s="87"/>
      <c r="U160" s="69"/>
      <c r="V160" s="58">
        <f>SUM(P161:T161)-U150</f>
        <v>0</v>
      </c>
      <c r="W160" s="80">
        <f>U161-V160</f>
        <v>0</v>
      </c>
      <c r="X160" s="58" t="s">
        <v>231</v>
      </c>
    </row>
    <row r="161" spans="1:24" hidden="1" x14ac:dyDescent="0.25">
      <c r="A161" s="64" t="s">
        <v>223</v>
      </c>
      <c r="B161" s="88"/>
      <c r="C161" s="88"/>
      <c r="D161" s="88"/>
      <c r="E161" s="88"/>
      <c r="F161" s="88"/>
      <c r="G161" s="92">
        <v>0</v>
      </c>
      <c r="P161" s="88"/>
      <c r="Q161" s="88"/>
      <c r="R161" s="88"/>
      <c r="S161" s="88"/>
      <c r="T161" s="88"/>
      <c r="U161" s="92">
        <f>+U151-U153-U154-U155-U156-U159-U157-U158</f>
        <v>0</v>
      </c>
      <c r="W161" s="80">
        <f>U161-V161</f>
        <v>0</v>
      </c>
      <c r="X161" s="59" t="s">
        <v>233</v>
      </c>
    </row>
    <row r="162" spans="1:24" ht="15.75" hidden="1" thickBot="1" x14ac:dyDescent="0.3">
      <c r="A162" s="82" t="s">
        <v>232</v>
      </c>
      <c r="B162" s="89"/>
      <c r="C162" s="89"/>
      <c r="D162" s="89"/>
      <c r="E162" s="89"/>
      <c r="F162" s="89"/>
      <c r="G162" s="90"/>
      <c r="P162" s="89"/>
      <c r="Q162" s="89"/>
      <c r="R162" s="89"/>
      <c r="S162" s="89"/>
      <c r="T162" s="89"/>
      <c r="U162" s="90"/>
    </row>
    <row r="163" spans="1:24" ht="14.45" hidden="1" customHeight="1" x14ac:dyDescent="0.25">
      <c r="A163" s="118" t="s">
        <v>211</v>
      </c>
      <c r="D163" s="59"/>
      <c r="E163" s="59"/>
      <c r="F163" s="59"/>
      <c r="G163" s="59"/>
      <c r="P163" s="59"/>
      <c r="Q163" s="59"/>
      <c r="R163" s="59"/>
      <c r="S163" s="59"/>
      <c r="T163" s="59"/>
      <c r="U163" s="59"/>
    </row>
    <row r="164" spans="1:24" ht="14.45" hidden="1" customHeight="1" x14ac:dyDescent="0.25">
      <c r="A164" s="119" t="s">
        <v>212</v>
      </c>
      <c r="D164" s="59"/>
      <c r="E164" s="59"/>
      <c r="F164" s="59"/>
      <c r="G164" s="59"/>
      <c r="P164" s="59"/>
      <c r="Q164" s="59"/>
      <c r="R164" s="59"/>
      <c r="S164" s="59"/>
      <c r="T164" s="59"/>
      <c r="U164" s="59"/>
    </row>
    <row r="165" spans="1:24" ht="14.45" hidden="1" customHeight="1" x14ac:dyDescent="0.25">
      <c r="A165" s="120">
        <v>43343</v>
      </c>
      <c r="D165" s="59"/>
      <c r="E165" s="59"/>
      <c r="F165" s="59"/>
      <c r="G165" s="59"/>
      <c r="P165" s="59"/>
      <c r="Q165" s="59"/>
      <c r="R165" s="59"/>
      <c r="S165" s="59"/>
      <c r="T165" s="59"/>
      <c r="U165" s="59"/>
    </row>
    <row r="166" spans="1:24" s="68" customFormat="1" hidden="1" x14ac:dyDescent="0.25">
      <c r="A166" s="61"/>
      <c r="B166" s="62"/>
      <c r="C166" s="62"/>
      <c r="D166" s="62"/>
      <c r="E166" s="62"/>
      <c r="F166" s="62"/>
      <c r="G166" s="63"/>
      <c r="P166" s="62"/>
      <c r="Q166" s="62"/>
      <c r="R166" s="62"/>
      <c r="S166" s="62"/>
      <c r="T166" s="62"/>
      <c r="U166" s="63"/>
      <c r="V166" s="67"/>
    </row>
    <row r="167" spans="1:24" hidden="1" x14ac:dyDescent="0.25">
      <c r="A167" s="64"/>
      <c r="B167" s="65" t="s">
        <v>213</v>
      </c>
      <c r="C167" s="65" t="s">
        <v>214</v>
      </c>
      <c r="D167" s="65" t="s">
        <v>215</v>
      </c>
      <c r="E167" s="65" t="s">
        <v>216</v>
      </c>
      <c r="F167" s="65" t="s">
        <v>217</v>
      </c>
      <c r="G167" s="66" t="s">
        <v>218</v>
      </c>
      <c r="P167" s="65" t="s">
        <v>213</v>
      </c>
      <c r="Q167" s="65" t="s">
        <v>214</v>
      </c>
      <c r="R167" s="65" t="s">
        <v>215</v>
      </c>
      <c r="S167" s="65" t="s">
        <v>216</v>
      </c>
      <c r="T167" s="65" t="s">
        <v>217</v>
      </c>
      <c r="U167" s="66" t="s">
        <v>218</v>
      </c>
    </row>
    <row r="168" spans="1:24" hidden="1" x14ac:dyDescent="0.25">
      <c r="A168" s="64" t="s">
        <v>63</v>
      </c>
      <c r="B168" s="2"/>
      <c r="C168" s="2"/>
      <c r="D168" s="2"/>
      <c r="E168" s="2"/>
      <c r="F168" s="2"/>
      <c r="G168" s="69">
        <v>0</v>
      </c>
      <c r="P168" s="2"/>
      <c r="Q168" s="2"/>
      <c r="R168" s="2"/>
      <c r="S168" s="2"/>
      <c r="T168" s="2"/>
      <c r="U168" s="69">
        <f>SUM(P168:T168)</f>
        <v>0</v>
      </c>
    </row>
    <row r="169" spans="1:24" hidden="1" x14ac:dyDescent="0.25">
      <c r="A169" s="64" t="s">
        <v>219</v>
      </c>
      <c r="B169" s="2"/>
      <c r="C169" s="2"/>
      <c r="D169" s="2"/>
      <c r="E169" s="2"/>
      <c r="F169" s="2"/>
      <c r="G169" s="69">
        <v>0</v>
      </c>
      <c r="P169" s="2"/>
      <c r="Q169" s="2"/>
      <c r="R169" s="2"/>
      <c r="S169" s="2"/>
      <c r="T169" s="2"/>
      <c r="U169" s="69">
        <f>SUM(P169:T169)</f>
        <v>0</v>
      </c>
    </row>
    <row r="170" spans="1:24" hidden="1" x14ac:dyDescent="0.25">
      <c r="A170" s="64" t="s">
        <v>220</v>
      </c>
      <c r="B170" s="2"/>
      <c r="C170" s="2"/>
      <c r="D170" s="2"/>
      <c r="E170" s="2"/>
      <c r="F170" s="2"/>
      <c r="G170" s="69">
        <v>0</v>
      </c>
      <c r="P170" s="2"/>
      <c r="Q170" s="2"/>
      <c r="R170" s="2"/>
      <c r="S170" s="2"/>
      <c r="T170" s="2"/>
      <c r="U170" s="69">
        <f>SUM(P170:T170)</f>
        <v>0</v>
      </c>
    </row>
    <row r="171" spans="1:24" hidden="1" x14ac:dyDescent="0.25">
      <c r="A171" s="64" t="s">
        <v>221</v>
      </c>
      <c r="B171" s="2"/>
      <c r="C171" s="2"/>
      <c r="D171" s="2"/>
      <c r="E171" s="2"/>
      <c r="F171" s="2"/>
      <c r="G171" s="69">
        <v>0</v>
      </c>
      <c r="P171" s="2"/>
      <c r="Q171" s="2"/>
      <c r="R171" s="2"/>
      <c r="S171" s="2"/>
      <c r="T171" s="2"/>
      <c r="U171" s="69">
        <f>SUM(P171:T171)</f>
        <v>0</v>
      </c>
    </row>
    <row r="172" spans="1:24" hidden="1" x14ac:dyDescent="0.25">
      <c r="A172" s="64" t="s">
        <v>222</v>
      </c>
      <c r="B172" s="12"/>
      <c r="C172" s="12"/>
      <c r="D172" s="77"/>
      <c r="E172" s="77"/>
      <c r="F172" s="77"/>
      <c r="G172" s="69">
        <v>0</v>
      </c>
      <c r="P172" s="12"/>
      <c r="Q172" s="12"/>
      <c r="R172" s="77"/>
      <c r="S172" s="77"/>
      <c r="T172" s="77"/>
      <c r="U172" s="69">
        <f>SUM(P172:T172)</f>
        <v>0</v>
      </c>
    </row>
    <row r="173" spans="1:24" ht="15.75" hidden="1" thickBot="1" x14ac:dyDescent="0.3">
      <c r="A173" s="64" t="s">
        <v>224</v>
      </c>
      <c r="B173" s="84"/>
      <c r="C173" s="84"/>
      <c r="D173" s="84"/>
      <c r="E173" s="84"/>
      <c r="F173" s="84"/>
      <c r="G173" s="85"/>
      <c r="P173" s="84"/>
      <c r="Q173" s="84"/>
      <c r="R173" s="84"/>
      <c r="S173" s="84"/>
      <c r="T173" s="84"/>
      <c r="U173" s="85"/>
    </row>
    <row r="174" spans="1:24" ht="15.75" hidden="1" thickBot="1" x14ac:dyDescent="0.3">
      <c r="A174" s="64"/>
      <c r="B174" s="86">
        <v>0</v>
      </c>
      <c r="C174" s="86">
        <v>0</v>
      </c>
      <c r="D174" s="86">
        <v>0</v>
      </c>
      <c r="E174" s="86">
        <v>0</v>
      </c>
      <c r="F174" s="86">
        <v>0</v>
      </c>
      <c r="G174" s="76">
        <v>0</v>
      </c>
      <c r="P174" s="86">
        <f>+P168-P169-P170-P171-P172</f>
        <v>0</v>
      </c>
      <c r="Q174" s="86">
        <f>+Q168-Q169-Q170-Q171-Q172</f>
        <v>0</v>
      </c>
      <c r="R174" s="86">
        <f>+R168-R169-R170-R171-R172</f>
        <v>0</v>
      </c>
      <c r="S174" s="86">
        <f>+S168-S169-S170-S171-S172</f>
        <v>0</v>
      </c>
      <c r="T174" s="86">
        <f>+T168-T169-T170-T171-T172</f>
        <v>0</v>
      </c>
      <c r="U174" s="76">
        <f>+U168-U169-U170-U171-U172-U173</f>
        <v>0</v>
      </c>
    </row>
    <row r="175" spans="1:24" hidden="1" x14ac:dyDescent="0.25">
      <c r="A175" s="64"/>
      <c r="B175" s="87"/>
      <c r="C175" s="87"/>
      <c r="D175" s="87"/>
      <c r="E175" s="87"/>
      <c r="F175" s="87"/>
      <c r="G175" s="69"/>
      <c r="P175" s="87"/>
      <c r="Q175" s="87"/>
      <c r="R175" s="87"/>
      <c r="S175" s="87"/>
      <c r="T175" s="87"/>
      <c r="U175" s="69"/>
    </row>
    <row r="176" spans="1:24" hidden="1" x14ac:dyDescent="0.25">
      <c r="A176" s="64" t="s">
        <v>225</v>
      </c>
      <c r="B176" s="87"/>
      <c r="C176" s="87"/>
      <c r="D176" s="87"/>
      <c r="E176" s="87"/>
      <c r="F176" s="87"/>
      <c r="G176" s="69">
        <v>0</v>
      </c>
      <c r="P176" s="87"/>
      <c r="Q176" s="87"/>
      <c r="R176" s="87"/>
      <c r="S176" s="87"/>
      <c r="T176" s="87"/>
      <c r="U176" s="69">
        <f t="shared" ref="U176:U182" si="13">SUM(P176:T176)</f>
        <v>0</v>
      </c>
    </row>
    <row r="177" spans="1:24" hidden="1" x14ac:dyDescent="0.25">
      <c r="A177" s="64" t="s">
        <v>226</v>
      </c>
      <c r="B177" s="8"/>
      <c r="C177" s="8"/>
      <c r="D177" s="8"/>
      <c r="E177" s="8"/>
      <c r="F177" s="8"/>
      <c r="G177" s="69">
        <v>0</v>
      </c>
      <c r="P177" s="8"/>
      <c r="Q177" s="8"/>
      <c r="R177" s="8"/>
      <c r="S177" s="8"/>
      <c r="T177" s="8"/>
      <c r="U177" s="69">
        <f t="shared" si="13"/>
        <v>0</v>
      </c>
    </row>
    <row r="178" spans="1:24" hidden="1" x14ac:dyDescent="0.25">
      <c r="A178" s="64" t="s">
        <v>227</v>
      </c>
      <c r="B178" s="21"/>
      <c r="C178" s="21"/>
      <c r="D178" s="8"/>
      <c r="E178" s="8"/>
      <c r="F178" s="8"/>
      <c r="G178" s="69">
        <v>0</v>
      </c>
      <c r="P178" s="21"/>
      <c r="Q178" s="21"/>
      <c r="R178" s="8"/>
      <c r="S178" s="8"/>
      <c r="T178" s="8"/>
      <c r="U178" s="69">
        <f t="shared" si="13"/>
        <v>0</v>
      </c>
    </row>
    <row r="179" spans="1:24" hidden="1" x14ac:dyDescent="0.25">
      <c r="A179" s="64" t="s">
        <v>228</v>
      </c>
      <c r="B179" s="8"/>
      <c r="C179" s="8"/>
      <c r="D179" s="8"/>
      <c r="E179" s="8"/>
      <c r="F179" s="8"/>
      <c r="G179" s="69">
        <v>0</v>
      </c>
      <c r="P179" s="8"/>
      <c r="Q179" s="8"/>
      <c r="R179" s="8"/>
      <c r="S179" s="8"/>
      <c r="T179" s="8"/>
      <c r="U179" s="69">
        <f t="shared" si="13"/>
        <v>0</v>
      </c>
    </row>
    <row r="180" spans="1:24" hidden="1" x14ac:dyDescent="0.25">
      <c r="A180" s="64" t="s">
        <v>229</v>
      </c>
      <c r="B180" s="8"/>
      <c r="C180" s="8"/>
      <c r="D180" s="8"/>
      <c r="E180" s="8"/>
      <c r="F180" s="8"/>
      <c r="G180" s="69">
        <v>0</v>
      </c>
      <c r="P180" s="8"/>
      <c r="Q180" s="8"/>
      <c r="R180" s="8"/>
      <c r="S180" s="8"/>
      <c r="T180" s="8"/>
      <c r="U180" s="69">
        <f t="shared" si="13"/>
        <v>0</v>
      </c>
    </row>
    <row r="181" spans="1:24" hidden="1" x14ac:dyDescent="0.25">
      <c r="A181" s="64" t="s">
        <v>37</v>
      </c>
      <c r="B181" s="8"/>
      <c r="C181" s="8"/>
      <c r="D181" s="8"/>
      <c r="E181" s="8"/>
      <c r="F181" s="8"/>
      <c r="G181" s="69">
        <v>0</v>
      </c>
      <c r="P181" s="8"/>
      <c r="Q181" s="8"/>
      <c r="R181" s="8"/>
      <c r="S181" s="8"/>
      <c r="T181" s="8"/>
      <c r="U181" s="69">
        <f t="shared" si="13"/>
        <v>0</v>
      </c>
    </row>
    <row r="182" spans="1:24" hidden="1" x14ac:dyDescent="0.25">
      <c r="A182" s="64" t="s">
        <v>230</v>
      </c>
      <c r="B182" s="8"/>
      <c r="C182" s="8"/>
      <c r="D182" s="8"/>
      <c r="E182" s="8"/>
      <c r="F182" s="8"/>
      <c r="G182" s="69">
        <v>0</v>
      </c>
      <c r="P182" s="8"/>
      <c r="Q182" s="8"/>
      <c r="R182" s="8"/>
      <c r="S182" s="8"/>
      <c r="T182" s="8"/>
      <c r="U182" s="69">
        <f t="shared" si="13"/>
        <v>0</v>
      </c>
    </row>
    <row r="183" spans="1:24" hidden="1" x14ac:dyDescent="0.25">
      <c r="A183" s="64"/>
      <c r="B183" s="87"/>
      <c r="C183" s="87"/>
      <c r="D183" s="87"/>
      <c r="E183" s="87"/>
      <c r="F183" s="87"/>
      <c r="G183" s="69"/>
      <c r="P183" s="87"/>
      <c r="Q183" s="87"/>
      <c r="R183" s="87"/>
      <c r="S183" s="87"/>
      <c r="T183" s="87"/>
      <c r="U183" s="69"/>
      <c r="V183" s="58">
        <f>SUM(P184:T184)-U173</f>
        <v>0</v>
      </c>
      <c r="W183" s="80">
        <f>U184-V183</f>
        <v>0</v>
      </c>
      <c r="X183" s="58" t="s">
        <v>231</v>
      </c>
    </row>
    <row r="184" spans="1:24" hidden="1" x14ac:dyDescent="0.25">
      <c r="A184" s="64" t="s">
        <v>223</v>
      </c>
      <c r="B184" s="88">
        <v>0</v>
      </c>
      <c r="C184" s="88">
        <v>0</v>
      </c>
      <c r="D184" s="88">
        <v>0</v>
      </c>
      <c r="E184" s="88">
        <v>0</v>
      </c>
      <c r="F184" s="88">
        <v>0</v>
      </c>
      <c r="G184" s="92">
        <v>0</v>
      </c>
      <c r="P184" s="88">
        <f>+P174-SUM(P176:P182)</f>
        <v>0</v>
      </c>
      <c r="Q184" s="88">
        <f>+Q174-SUM(Q176:Q182)</f>
        <v>0</v>
      </c>
      <c r="R184" s="88">
        <f>+R174-SUM(R176:R182)</f>
        <v>0</v>
      </c>
      <c r="S184" s="88">
        <f>+S174-SUM(S176:S182)</f>
        <v>0</v>
      </c>
      <c r="T184" s="88">
        <f>+T174-SUM(T176:T182)</f>
        <v>0</v>
      </c>
      <c r="U184" s="92">
        <f>+U174-U176-U177-U178-U179-U182-U180-U181</f>
        <v>0</v>
      </c>
      <c r="W184" s="80">
        <f>U184-V184</f>
        <v>0</v>
      </c>
      <c r="X184" s="59" t="s">
        <v>233</v>
      </c>
    </row>
    <row r="185" spans="1:24" ht="15.75" hidden="1" thickBot="1" x14ac:dyDescent="0.3">
      <c r="A185" s="82" t="s">
        <v>232</v>
      </c>
      <c r="B185" s="89"/>
      <c r="C185" s="89"/>
      <c r="D185" s="89"/>
      <c r="E185" s="89"/>
      <c r="F185" s="89"/>
      <c r="G185" s="90"/>
      <c r="P185" s="89"/>
      <c r="Q185" s="89"/>
      <c r="R185" s="89"/>
      <c r="S185" s="89"/>
      <c r="T185" s="89"/>
      <c r="U185" s="90"/>
    </row>
    <row r="186" spans="1:24" ht="14.45" hidden="1" customHeight="1" x14ac:dyDescent="0.25">
      <c r="A186" s="118" t="s">
        <v>211</v>
      </c>
      <c r="D186" s="59"/>
      <c r="E186" s="59"/>
      <c r="F186" s="59"/>
      <c r="G186" s="59"/>
      <c r="P186" s="59"/>
      <c r="Q186" s="59"/>
      <c r="R186" s="59"/>
      <c r="S186" s="59"/>
      <c r="T186" s="59"/>
      <c r="U186" s="59"/>
    </row>
    <row r="187" spans="1:24" ht="14.45" hidden="1" customHeight="1" x14ac:dyDescent="0.25">
      <c r="A187" s="119" t="s">
        <v>212</v>
      </c>
      <c r="D187" s="59"/>
      <c r="E187" s="59"/>
      <c r="F187" s="59"/>
      <c r="G187" s="59"/>
      <c r="P187" s="59"/>
      <c r="Q187" s="59"/>
      <c r="R187" s="59"/>
      <c r="S187" s="59"/>
      <c r="T187" s="59"/>
      <c r="U187" s="59"/>
    </row>
    <row r="188" spans="1:24" ht="14.45" hidden="1" customHeight="1" x14ac:dyDescent="0.25">
      <c r="A188" s="120">
        <v>43373</v>
      </c>
      <c r="D188" s="59"/>
      <c r="E188" s="59"/>
      <c r="F188" s="59"/>
      <c r="G188" s="59"/>
      <c r="P188" s="59"/>
      <c r="Q188" s="59"/>
      <c r="R188" s="59"/>
      <c r="S188" s="59"/>
      <c r="T188" s="59"/>
      <c r="U188" s="59"/>
    </row>
    <row r="189" spans="1:24" s="68" customFormat="1" hidden="1" x14ac:dyDescent="0.25">
      <c r="A189" s="61"/>
      <c r="B189" s="62"/>
      <c r="C189" s="62"/>
      <c r="D189" s="62"/>
      <c r="E189" s="62"/>
      <c r="F189" s="62"/>
      <c r="G189" s="63"/>
      <c r="P189" s="62"/>
      <c r="Q189" s="62"/>
      <c r="R189" s="62"/>
      <c r="S189" s="62"/>
      <c r="T189" s="62"/>
      <c r="U189" s="63"/>
      <c r="V189" s="67"/>
    </row>
    <row r="190" spans="1:24" hidden="1" x14ac:dyDescent="0.25">
      <c r="A190" s="64"/>
      <c r="B190" s="65" t="s">
        <v>213</v>
      </c>
      <c r="C190" s="65" t="s">
        <v>214</v>
      </c>
      <c r="D190" s="65" t="s">
        <v>215</v>
      </c>
      <c r="E190" s="65" t="s">
        <v>216</v>
      </c>
      <c r="F190" s="65" t="s">
        <v>217</v>
      </c>
      <c r="G190" s="66" t="s">
        <v>218</v>
      </c>
      <c r="P190" s="65" t="s">
        <v>213</v>
      </c>
      <c r="Q190" s="65" t="s">
        <v>214</v>
      </c>
      <c r="R190" s="65" t="s">
        <v>215</v>
      </c>
      <c r="S190" s="65" t="s">
        <v>216</v>
      </c>
      <c r="T190" s="65" t="s">
        <v>217</v>
      </c>
      <c r="U190" s="66" t="s">
        <v>218</v>
      </c>
    </row>
    <row r="191" spans="1:24" hidden="1" x14ac:dyDescent="0.25">
      <c r="A191" s="64" t="s">
        <v>63</v>
      </c>
      <c r="B191" s="2"/>
      <c r="C191" s="2"/>
      <c r="D191" s="2"/>
      <c r="E191" s="2"/>
      <c r="F191" s="2"/>
      <c r="G191" s="69">
        <v>0</v>
      </c>
      <c r="P191" s="2"/>
      <c r="Q191" s="2"/>
      <c r="R191" s="2"/>
      <c r="S191" s="2"/>
      <c r="T191" s="2"/>
      <c r="U191" s="69">
        <f>SUM(P191:T191)</f>
        <v>0</v>
      </c>
    </row>
    <row r="192" spans="1:24" hidden="1" x14ac:dyDescent="0.25">
      <c r="A192" s="64" t="s">
        <v>219</v>
      </c>
      <c r="B192" s="2"/>
      <c r="C192" s="2"/>
      <c r="D192" s="2"/>
      <c r="E192" s="2"/>
      <c r="F192" s="2"/>
      <c r="G192" s="69">
        <v>0</v>
      </c>
      <c r="P192" s="2"/>
      <c r="Q192" s="2"/>
      <c r="R192" s="2"/>
      <c r="S192" s="2"/>
      <c r="T192" s="2"/>
      <c r="U192" s="69">
        <f>SUM(P192:T192)</f>
        <v>0</v>
      </c>
    </row>
    <row r="193" spans="1:24" hidden="1" x14ac:dyDescent="0.25">
      <c r="A193" s="64" t="s">
        <v>220</v>
      </c>
      <c r="B193" s="2"/>
      <c r="C193" s="2"/>
      <c r="D193" s="2"/>
      <c r="E193" s="2"/>
      <c r="F193" s="2"/>
      <c r="G193" s="69">
        <v>0</v>
      </c>
      <c r="P193" s="2"/>
      <c r="Q193" s="2"/>
      <c r="R193" s="2"/>
      <c r="S193" s="2"/>
      <c r="T193" s="2"/>
      <c r="U193" s="69">
        <f>SUM(P193:T193)</f>
        <v>0</v>
      </c>
    </row>
    <row r="194" spans="1:24" hidden="1" x14ac:dyDescent="0.25">
      <c r="A194" s="64" t="s">
        <v>221</v>
      </c>
      <c r="B194" s="2"/>
      <c r="C194" s="2"/>
      <c r="D194" s="2"/>
      <c r="E194" s="2"/>
      <c r="F194" s="2"/>
      <c r="G194" s="69">
        <v>0</v>
      </c>
      <c r="P194" s="2"/>
      <c r="Q194" s="2"/>
      <c r="R194" s="2"/>
      <c r="S194" s="2"/>
      <c r="T194" s="2"/>
      <c r="U194" s="69">
        <f>SUM(P194:T194)</f>
        <v>0</v>
      </c>
    </row>
    <row r="195" spans="1:24" hidden="1" x14ac:dyDescent="0.25">
      <c r="A195" s="64" t="s">
        <v>222</v>
      </c>
      <c r="B195" s="12"/>
      <c r="C195" s="12"/>
      <c r="D195" s="77"/>
      <c r="E195" s="77"/>
      <c r="F195" s="77"/>
      <c r="G195" s="69">
        <v>0</v>
      </c>
      <c r="P195" s="12"/>
      <c r="Q195" s="12"/>
      <c r="R195" s="77"/>
      <c r="S195" s="77"/>
      <c r="T195" s="77"/>
      <c r="U195" s="69">
        <f>SUM(P195:T195)</f>
        <v>0</v>
      </c>
    </row>
    <row r="196" spans="1:24" ht="15.75" hidden="1" thickBot="1" x14ac:dyDescent="0.3">
      <c r="A196" s="64" t="s">
        <v>224</v>
      </c>
      <c r="B196" s="84"/>
      <c r="C196" s="84"/>
      <c r="D196" s="84"/>
      <c r="E196" s="84"/>
      <c r="F196" s="84"/>
      <c r="G196" s="85"/>
      <c r="P196" s="84"/>
      <c r="Q196" s="84"/>
      <c r="R196" s="84"/>
      <c r="S196" s="84"/>
      <c r="T196" s="84"/>
      <c r="U196" s="85"/>
    </row>
    <row r="197" spans="1:24" ht="15.75" hidden="1" thickBot="1" x14ac:dyDescent="0.3">
      <c r="A197" s="64"/>
      <c r="B197" s="86">
        <v>0</v>
      </c>
      <c r="C197" s="86">
        <v>0</v>
      </c>
      <c r="D197" s="86">
        <v>0</v>
      </c>
      <c r="E197" s="86">
        <v>0</v>
      </c>
      <c r="F197" s="86">
        <v>0</v>
      </c>
      <c r="G197" s="76">
        <v>0</v>
      </c>
      <c r="P197" s="86">
        <f>+P191-P192-P193-P194-P195</f>
        <v>0</v>
      </c>
      <c r="Q197" s="86">
        <f>+Q191-Q192-Q193-Q194-Q195</f>
        <v>0</v>
      </c>
      <c r="R197" s="86">
        <f>+R191-R192-R193-R194-R195</f>
        <v>0</v>
      </c>
      <c r="S197" s="86">
        <f>+S191-S192-S193-S194-S195</f>
        <v>0</v>
      </c>
      <c r="T197" s="86">
        <f>+T191-T192-T193-T194-T195</f>
        <v>0</v>
      </c>
      <c r="U197" s="76">
        <f>+U191-U192-U193-U194-U195-U196</f>
        <v>0</v>
      </c>
    </row>
    <row r="198" spans="1:24" hidden="1" x14ac:dyDescent="0.25">
      <c r="A198" s="64"/>
      <c r="B198" s="87"/>
      <c r="C198" s="87"/>
      <c r="D198" s="87"/>
      <c r="E198" s="87"/>
      <c r="F198" s="87"/>
      <c r="G198" s="69"/>
      <c r="P198" s="87"/>
      <c r="Q198" s="87"/>
      <c r="R198" s="87"/>
      <c r="S198" s="87"/>
      <c r="T198" s="87"/>
      <c r="U198" s="69"/>
    </row>
    <row r="199" spans="1:24" hidden="1" x14ac:dyDescent="0.25">
      <c r="A199" s="64" t="s">
        <v>225</v>
      </c>
      <c r="B199" s="87"/>
      <c r="C199" s="87"/>
      <c r="D199" s="87"/>
      <c r="E199" s="87"/>
      <c r="F199" s="87"/>
      <c r="G199" s="69">
        <v>0</v>
      </c>
      <c r="P199" s="87"/>
      <c r="Q199" s="87"/>
      <c r="R199" s="87"/>
      <c r="S199" s="87"/>
      <c r="T199" s="87"/>
      <c r="U199" s="69">
        <f t="shared" ref="U199:U205" si="14">SUM(P199:T199)</f>
        <v>0</v>
      </c>
    </row>
    <row r="200" spans="1:24" hidden="1" x14ac:dyDescent="0.25">
      <c r="A200" s="64" t="s">
        <v>226</v>
      </c>
      <c r="B200" s="8"/>
      <c r="C200" s="8"/>
      <c r="D200" s="8"/>
      <c r="E200" s="8"/>
      <c r="F200" s="8"/>
      <c r="G200" s="69">
        <v>0</v>
      </c>
      <c r="P200" s="8"/>
      <c r="Q200" s="8"/>
      <c r="R200" s="8"/>
      <c r="S200" s="8"/>
      <c r="T200" s="8"/>
      <c r="U200" s="69">
        <f t="shared" si="14"/>
        <v>0</v>
      </c>
    </row>
    <row r="201" spans="1:24" hidden="1" x14ac:dyDescent="0.25">
      <c r="A201" s="64" t="s">
        <v>227</v>
      </c>
      <c r="B201" s="21"/>
      <c r="C201" s="8"/>
      <c r="D201" s="8"/>
      <c r="E201" s="8"/>
      <c r="F201" s="8"/>
      <c r="G201" s="69">
        <v>0</v>
      </c>
      <c r="P201" s="21"/>
      <c r="Q201" s="8"/>
      <c r="R201" s="8"/>
      <c r="S201" s="8"/>
      <c r="T201" s="8"/>
      <c r="U201" s="69">
        <f t="shared" si="14"/>
        <v>0</v>
      </c>
    </row>
    <row r="202" spans="1:24" hidden="1" x14ac:dyDescent="0.25">
      <c r="A202" s="64" t="s">
        <v>229</v>
      </c>
      <c r="B202" s="8"/>
      <c r="C202" s="8"/>
      <c r="D202" s="8"/>
      <c r="E202" s="8"/>
      <c r="F202" s="8"/>
      <c r="G202" s="69">
        <v>0</v>
      </c>
      <c r="P202" s="8"/>
      <c r="Q202" s="8"/>
      <c r="R202" s="8"/>
      <c r="S202" s="8"/>
      <c r="T202" s="8"/>
      <c r="U202" s="69">
        <f t="shared" si="14"/>
        <v>0</v>
      </c>
    </row>
    <row r="203" spans="1:24" hidden="1" x14ac:dyDescent="0.25">
      <c r="A203" s="64" t="s">
        <v>228</v>
      </c>
      <c r="B203" s="8"/>
      <c r="C203" s="8"/>
      <c r="D203" s="8"/>
      <c r="E203" s="8"/>
      <c r="F203" s="8"/>
      <c r="G203" s="69">
        <v>0</v>
      </c>
      <c r="P203" s="8"/>
      <c r="Q203" s="8"/>
      <c r="R203" s="8"/>
      <c r="S203" s="8"/>
      <c r="T203" s="8"/>
      <c r="U203" s="69">
        <f t="shared" si="14"/>
        <v>0</v>
      </c>
    </row>
    <row r="204" spans="1:24" hidden="1" x14ac:dyDescent="0.25">
      <c r="A204" s="64" t="s">
        <v>37</v>
      </c>
      <c r="B204" s="8"/>
      <c r="C204" s="8"/>
      <c r="D204" s="8"/>
      <c r="E204" s="8"/>
      <c r="F204" s="8"/>
      <c r="G204" s="69">
        <v>0</v>
      </c>
      <c r="P204" s="8"/>
      <c r="Q204" s="8"/>
      <c r="R204" s="8"/>
      <c r="S204" s="8"/>
      <c r="T204" s="8"/>
      <c r="U204" s="69">
        <f t="shared" si="14"/>
        <v>0</v>
      </c>
    </row>
    <row r="205" spans="1:24" hidden="1" x14ac:dyDescent="0.25">
      <c r="A205" s="64" t="s">
        <v>230</v>
      </c>
      <c r="B205" s="8"/>
      <c r="C205" s="8"/>
      <c r="D205" s="8"/>
      <c r="E205" s="8"/>
      <c r="F205" s="8"/>
      <c r="G205" s="69">
        <v>0</v>
      </c>
      <c r="P205" s="8"/>
      <c r="Q205" s="8"/>
      <c r="R205" s="8"/>
      <c r="S205" s="8"/>
      <c r="T205" s="8"/>
      <c r="U205" s="69">
        <f t="shared" si="14"/>
        <v>0</v>
      </c>
    </row>
    <row r="206" spans="1:24" hidden="1" x14ac:dyDescent="0.25">
      <c r="A206" s="64"/>
      <c r="B206" s="87"/>
      <c r="C206" s="87"/>
      <c r="D206" s="87"/>
      <c r="E206" s="87"/>
      <c r="F206" s="87"/>
      <c r="G206" s="69"/>
      <c r="P206" s="87"/>
      <c r="Q206" s="87"/>
      <c r="R206" s="87"/>
      <c r="S206" s="87"/>
      <c r="T206" s="87"/>
      <c r="U206" s="69"/>
      <c r="V206" s="58">
        <f>SUM(P207:T207)-U196</f>
        <v>0</v>
      </c>
      <c r="W206" s="80">
        <f>U207-V206</f>
        <v>0</v>
      </c>
      <c r="X206" s="58" t="s">
        <v>231</v>
      </c>
    </row>
    <row r="207" spans="1:24" hidden="1" x14ac:dyDescent="0.25">
      <c r="A207" s="64" t="s">
        <v>223</v>
      </c>
      <c r="B207" s="88"/>
      <c r="C207" s="88"/>
      <c r="D207" s="88"/>
      <c r="E207" s="88"/>
      <c r="F207" s="88"/>
      <c r="G207" s="92">
        <v>0</v>
      </c>
      <c r="P207" s="88"/>
      <c r="Q207" s="88"/>
      <c r="R207" s="88"/>
      <c r="S207" s="88"/>
      <c r="T207" s="88"/>
      <c r="U207" s="92">
        <f>+U197-U199-U200-U201-U202-U205-U203-U204</f>
        <v>0</v>
      </c>
      <c r="W207" s="80">
        <f>U207-V207</f>
        <v>0</v>
      </c>
      <c r="X207" s="59" t="s">
        <v>233</v>
      </c>
    </row>
    <row r="208" spans="1:24" ht="15.75" hidden="1" thickBot="1" x14ac:dyDescent="0.3">
      <c r="A208" s="82" t="s">
        <v>232</v>
      </c>
      <c r="B208" s="89"/>
      <c r="C208" s="89"/>
      <c r="D208" s="89"/>
      <c r="E208" s="89"/>
      <c r="F208" s="89"/>
      <c r="G208" s="90"/>
      <c r="P208" s="89"/>
      <c r="Q208" s="89"/>
      <c r="R208" s="89"/>
      <c r="S208" s="89"/>
      <c r="T208" s="89"/>
      <c r="U208" s="90"/>
    </row>
    <row r="209" spans="1:24" ht="14.45" hidden="1" customHeight="1" x14ac:dyDescent="0.25">
      <c r="A209" s="121" t="s">
        <v>211</v>
      </c>
      <c r="D209" s="59"/>
      <c r="E209" s="59"/>
      <c r="F209" s="59"/>
      <c r="G209" s="59"/>
      <c r="P209" s="59"/>
      <c r="Q209" s="59"/>
      <c r="R209" s="59"/>
      <c r="S209" s="59"/>
      <c r="T209" s="59"/>
      <c r="U209" s="59"/>
    </row>
    <row r="210" spans="1:24" ht="14.45" hidden="1" customHeight="1" x14ac:dyDescent="0.25">
      <c r="A210" s="122" t="s">
        <v>212</v>
      </c>
      <c r="D210" s="59"/>
      <c r="E210" s="59"/>
      <c r="F210" s="59"/>
      <c r="G210" s="59"/>
      <c r="P210" s="59"/>
      <c r="Q210" s="59"/>
      <c r="R210" s="59"/>
      <c r="S210" s="59"/>
      <c r="T210" s="59"/>
      <c r="U210" s="59"/>
    </row>
    <row r="211" spans="1:24" ht="14.45" hidden="1" customHeight="1" x14ac:dyDescent="0.25">
      <c r="A211" s="123">
        <v>43404</v>
      </c>
      <c r="D211" s="59"/>
      <c r="E211" s="59"/>
      <c r="F211" s="59"/>
      <c r="G211" s="59"/>
      <c r="P211" s="59"/>
      <c r="Q211" s="59"/>
      <c r="R211" s="59"/>
      <c r="S211" s="59"/>
      <c r="T211" s="59"/>
      <c r="U211" s="59"/>
    </row>
    <row r="212" spans="1:24" s="68" customFormat="1" hidden="1" x14ac:dyDescent="0.25">
      <c r="A212" s="94"/>
      <c r="B212" s="95"/>
      <c r="C212" s="95"/>
      <c r="D212" s="95"/>
      <c r="E212" s="95"/>
      <c r="F212" s="95"/>
      <c r="G212" s="96"/>
      <c r="P212" s="95"/>
      <c r="Q212" s="95"/>
      <c r="R212" s="95"/>
      <c r="S212" s="95"/>
      <c r="T212" s="95"/>
      <c r="U212" s="96"/>
      <c r="V212" s="67"/>
    </row>
    <row r="213" spans="1:24" hidden="1" x14ac:dyDescent="0.25">
      <c r="A213" s="97"/>
      <c r="B213" s="98" t="s">
        <v>213</v>
      </c>
      <c r="C213" s="98" t="s">
        <v>214</v>
      </c>
      <c r="D213" s="98" t="s">
        <v>215</v>
      </c>
      <c r="E213" s="98" t="s">
        <v>216</v>
      </c>
      <c r="F213" s="98" t="s">
        <v>217</v>
      </c>
      <c r="G213" s="99" t="s">
        <v>218</v>
      </c>
      <c r="P213" s="98" t="s">
        <v>213</v>
      </c>
      <c r="Q213" s="98" t="s">
        <v>214</v>
      </c>
      <c r="R213" s="98" t="s">
        <v>215</v>
      </c>
      <c r="S213" s="98" t="s">
        <v>216</v>
      </c>
      <c r="T213" s="98" t="s">
        <v>217</v>
      </c>
      <c r="U213" s="99" t="s">
        <v>218</v>
      </c>
    </row>
    <row r="214" spans="1:24" hidden="1" x14ac:dyDescent="0.25">
      <c r="A214" s="97" t="s">
        <v>63</v>
      </c>
      <c r="B214" s="2"/>
      <c r="C214" s="2"/>
      <c r="D214" s="2"/>
      <c r="E214" s="2"/>
      <c r="F214" s="2"/>
      <c r="G214" s="83">
        <v>0</v>
      </c>
      <c r="P214" s="2"/>
      <c r="Q214" s="2"/>
      <c r="R214" s="2"/>
      <c r="S214" s="2"/>
      <c r="T214" s="2"/>
      <c r="U214" s="83">
        <f t="shared" ref="U214:U217" si="15">SUM(P214:T214)</f>
        <v>0</v>
      </c>
    </row>
    <row r="215" spans="1:24" hidden="1" x14ac:dyDescent="0.25">
      <c r="A215" s="97" t="s">
        <v>219</v>
      </c>
      <c r="B215" s="2"/>
      <c r="C215" s="2"/>
      <c r="D215" s="2"/>
      <c r="E215" s="2"/>
      <c r="F215" s="2"/>
      <c r="G215" s="83">
        <v>0</v>
      </c>
      <c r="P215" s="2"/>
      <c r="Q215" s="2"/>
      <c r="R215" s="2"/>
      <c r="S215" s="2"/>
      <c r="T215" s="2"/>
      <c r="U215" s="83">
        <f t="shared" si="15"/>
        <v>0</v>
      </c>
    </row>
    <row r="216" spans="1:24" hidden="1" x14ac:dyDescent="0.25">
      <c r="A216" s="97" t="s">
        <v>220</v>
      </c>
      <c r="B216" s="2"/>
      <c r="C216" s="2"/>
      <c r="D216" s="2"/>
      <c r="E216" s="2"/>
      <c r="F216" s="2"/>
      <c r="G216" s="83">
        <v>0</v>
      </c>
      <c r="P216" s="2"/>
      <c r="Q216" s="2"/>
      <c r="R216" s="2"/>
      <c r="S216" s="2"/>
      <c r="T216" s="2"/>
      <c r="U216" s="83">
        <f t="shared" si="15"/>
        <v>0</v>
      </c>
    </row>
    <row r="217" spans="1:24" hidden="1" x14ac:dyDescent="0.25">
      <c r="A217" s="97" t="s">
        <v>221</v>
      </c>
      <c r="B217" s="2"/>
      <c r="C217" s="2"/>
      <c r="D217" s="2"/>
      <c r="E217" s="2"/>
      <c r="F217" s="2"/>
      <c r="G217" s="83">
        <v>0</v>
      </c>
      <c r="P217" s="2"/>
      <c r="Q217" s="2"/>
      <c r="R217" s="2"/>
      <c r="S217" s="2"/>
      <c r="T217" s="2"/>
      <c r="U217" s="83">
        <f t="shared" si="15"/>
        <v>0</v>
      </c>
    </row>
    <row r="218" spans="1:24" hidden="1" x14ac:dyDescent="0.25">
      <c r="A218" s="97" t="s">
        <v>222</v>
      </c>
      <c r="B218" s="12"/>
      <c r="C218" s="12"/>
      <c r="D218" s="21"/>
      <c r="E218" s="21"/>
      <c r="F218" s="21"/>
      <c r="G218" s="100">
        <v>0</v>
      </c>
      <c r="P218" s="12"/>
      <c r="Q218" s="12"/>
      <c r="R218" s="21"/>
      <c r="S218" s="21"/>
      <c r="T218" s="21"/>
      <c r="U218" s="100">
        <f>SUM(P218:T218)</f>
        <v>0</v>
      </c>
    </row>
    <row r="219" spans="1:24" hidden="1" x14ac:dyDescent="0.25">
      <c r="A219" s="97" t="s">
        <v>222</v>
      </c>
      <c r="B219" s="12"/>
      <c r="C219" s="12"/>
      <c r="D219" s="21"/>
      <c r="E219" s="21"/>
      <c r="F219" s="21"/>
      <c r="G219" s="83">
        <v>0</v>
      </c>
      <c r="P219" s="12"/>
      <c r="Q219" s="12"/>
      <c r="R219" s="21"/>
      <c r="S219" s="21"/>
      <c r="T219" s="21"/>
      <c r="U219" s="83">
        <f t="shared" ref="U219" si="16">SUM(P219:T219)</f>
        <v>0</v>
      </c>
      <c r="X219" s="71"/>
    </row>
    <row r="220" spans="1:24" ht="15.75" hidden="1" thickBot="1" x14ac:dyDescent="0.3">
      <c r="A220" s="97" t="s">
        <v>224</v>
      </c>
      <c r="B220" s="8"/>
      <c r="C220" s="8"/>
      <c r="D220" s="8"/>
      <c r="E220" s="8"/>
      <c r="F220" s="8"/>
      <c r="G220" s="101"/>
      <c r="P220" s="8"/>
      <c r="Q220" s="8"/>
      <c r="R220" s="8"/>
      <c r="S220" s="8"/>
      <c r="T220" s="8"/>
      <c r="U220" s="101"/>
      <c r="X220" s="71"/>
    </row>
    <row r="221" spans="1:24" ht="15.75" hidden="1" thickBot="1" x14ac:dyDescent="0.3">
      <c r="A221" s="97"/>
      <c r="B221" s="41">
        <v>0</v>
      </c>
      <c r="C221" s="41">
        <v>0</v>
      </c>
      <c r="D221" s="41">
        <v>0</v>
      </c>
      <c r="E221" s="41">
        <v>0</v>
      </c>
      <c r="F221" s="41">
        <v>0</v>
      </c>
      <c r="G221" s="42">
        <v>0</v>
      </c>
      <c r="P221" s="41">
        <f>+P214-P215-P216-P217-P218</f>
        <v>0</v>
      </c>
      <c r="Q221" s="41">
        <f>+Q214-Q215-Q216-Q217-Q218</f>
        <v>0</v>
      </c>
      <c r="R221" s="41">
        <f>+R214-R215-R216-R217-R218</f>
        <v>0</v>
      </c>
      <c r="S221" s="41">
        <f>+S214-S215-S216-S217-S218</f>
        <v>0</v>
      </c>
      <c r="T221" s="41">
        <f>+T214-T215-T216-T217-T218</f>
        <v>0</v>
      </c>
      <c r="U221" s="42">
        <f>+U214-U215-U216-U217-U218-U220</f>
        <v>0</v>
      </c>
      <c r="X221" s="71"/>
    </row>
    <row r="222" spans="1:24" hidden="1" x14ac:dyDescent="0.25">
      <c r="A222" s="97"/>
      <c r="B222" s="8"/>
      <c r="C222" s="8"/>
      <c r="D222" s="8"/>
      <c r="E222" s="8"/>
      <c r="F222" s="8"/>
      <c r="G222" s="83"/>
      <c r="P222" s="8"/>
      <c r="Q222" s="8"/>
      <c r="R222" s="8"/>
      <c r="S222" s="8"/>
      <c r="T222" s="8"/>
      <c r="U222" s="83"/>
    </row>
    <row r="223" spans="1:24" hidden="1" x14ac:dyDescent="0.25">
      <c r="A223" s="97" t="s">
        <v>225</v>
      </c>
      <c r="B223" s="8"/>
      <c r="C223" s="8"/>
      <c r="D223" s="8"/>
      <c r="E223" s="8"/>
      <c r="F223" s="8"/>
      <c r="G223" s="83">
        <v>0</v>
      </c>
      <c r="P223" s="8"/>
      <c r="Q223" s="8"/>
      <c r="R223" s="8"/>
      <c r="S223" s="8"/>
      <c r="T223" s="8"/>
      <c r="U223" s="83">
        <f t="shared" ref="U223:U230" si="17">SUM(P223:T223)</f>
        <v>0</v>
      </c>
    </row>
    <row r="224" spans="1:24" hidden="1" x14ac:dyDescent="0.25">
      <c r="A224" s="97" t="s">
        <v>226</v>
      </c>
      <c r="B224" s="102"/>
      <c r="C224" s="8"/>
      <c r="D224" s="8"/>
      <c r="E224" s="8"/>
      <c r="F224" s="8"/>
      <c r="G224" s="83">
        <v>0</v>
      </c>
      <c r="P224" s="102"/>
      <c r="Q224" s="8"/>
      <c r="R224" s="8"/>
      <c r="S224" s="8"/>
      <c r="T224" s="8"/>
      <c r="U224" s="83">
        <f t="shared" si="17"/>
        <v>0</v>
      </c>
    </row>
    <row r="225" spans="1:24" hidden="1" x14ac:dyDescent="0.25">
      <c r="A225" s="97" t="s">
        <v>227</v>
      </c>
      <c r="B225" s="8"/>
      <c r="C225" s="8"/>
      <c r="D225" s="8"/>
      <c r="E225" s="8"/>
      <c r="F225" s="8"/>
      <c r="G225" s="83">
        <v>0</v>
      </c>
      <c r="P225" s="8"/>
      <c r="Q225" s="8"/>
      <c r="R225" s="8"/>
      <c r="S225" s="8"/>
      <c r="T225" s="8"/>
      <c r="U225" s="83">
        <f t="shared" si="17"/>
        <v>0</v>
      </c>
    </row>
    <row r="226" spans="1:24" hidden="1" x14ac:dyDescent="0.25">
      <c r="A226" s="97" t="s">
        <v>228</v>
      </c>
      <c r="B226" s="8"/>
      <c r="C226" s="8"/>
      <c r="D226" s="8"/>
      <c r="E226" s="8"/>
      <c r="F226" s="8"/>
      <c r="G226" s="83">
        <v>0</v>
      </c>
      <c r="P226" s="8"/>
      <c r="Q226" s="8"/>
      <c r="R226" s="8"/>
      <c r="S226" s="8"/>
      <c r="T226" s="8"/>
      <c r="U226" s="83">
        <f t="shared" si="17"/>
        <v>0</v>
      </c>
    </row>
    <row r="227" spans="1:24" hidden="1" x14ac:dyDescent="0.25">
      <c r="A227" s="97" t="s">
        <v>229</v>
      </c>
      <c r="B227" s="8"/>
      <c r="C227" s="8"/>
      <c r="D227" s="8"/>
      <c r="E227" s="8"/>
      <c r="F227" s="8"/>
      <c r="G227" s="83">
        <v>0</v>
      </c>
      <c r="P227" s="8"/>
      <c r="Q227" s="8"/>
      <c r="R227" s="8"/>
      <c r="S227" s="8"/>
      <c r="T227" s="8"/>
      <c r="U227" s="83">
        <f t="shared" si="17"/>
        <v>0</v>
      </c>
    </row>
    <row r="228" spans="1:24" hidden="1" x14ac:dyDescent="0.25">
      <c r="A228" s="97" t="s">
        <v>37</v>
      </c>
      <c r="B228" s="8"/>
      <c r="C228" s="8"/>
      <c r="D228" s="8"/>
      <c r="E228" s="8"/>
      <c r="F228" s="8"/>
      <c r="G228" s="83">
        <v>0</v>
      </c>
      <c r="P228" s="8"/>
      <c r="Q228" s="8"/>
      <c r="R228" s="8"/>
      <c r="S228" s="8"/>
      <c r="T228" s="8"/>
      <c r="U228" s="83">
        <f t="shared" si="17"/>
        <v>0</v>
      </c>
    </row>
    <row r="229" spans="1:24" hidden="1" x14ac:dyDescent="0.25">
      <c r="A229" s="97" t="s">
        <v>236</v>
      </c>
      <c r="B229" s="8"/>
      <c r="C229" s="8"/>
      <c r="D229" s="8"/>
      <c r="E229" s="8"/>
      <c r="F229" s="8"/>
      <c r="G229" s="83">
        <v>0</v>
      </c>
      <c r="P229" s="8"/>
      <c r="Q229" s="8"/>
      <c r="R229" s="8"/>
      <c r="S229" s="8"/>
      <c r="T229" s="8"/>
      <c r="U229" s="83">
        <f t="shared" si="17"/>
        <v>0</v>
      </c>
    </row>
    <row r="230" spans="1:24" hidden="1" x14ac:dyDescent="0.25">
      <c r="A230" s="97" t="s">
        <v>237</v>
      </c>
      <c r="B230" s="8"/>
      <c r="C230" s="8"/>
      <c r="D230" s="8"/>
      <c r="E230" s="8"/>
      <c r="F230" s="8"/>
      <c r="G230" s="83">
        <v>0</v>
      </c>
      <c r="P230" s="8"/>
      <c r="Q230" s="8"/>
      <c r="R230" s="8"/>
      <c r="S230" s="8"/>
      <c r="T230" s="8"/>
      <c r="U230" s="83">
        <f t="shared" si="17"/>
        <v>0</v>
      </c>
      <c r="W230" s="80"/>
      <c r="X230" s="58"/>
    </row>
    <row r="231" spans="1:24" hidden="1" x14ac:dyDescent="0.25">
      <c r="A231" s="97" t="s">
        <v>238</v>
      </c>
      <c r="B231" s="8"/>
      <c r="C231" s="8"/>
      <c r="D231" s="8"/>
      <c r="E231" s="8"/>
      <c r="F231" s="8"/>
      <c r="G231" s="83">
        <v>0</v>
      </c>
      <c r="P231" s="8"/>
      <c r="Q231" s="8"/>
      <c r="R231" s="8"/>
      <c r="S231" s="8"/>
      <c r="T231" s="8"/>
      <c r="U231" s="83">
        <f>SUM(P231:T231)</f>
        <v>0</v>
      </c>
      <c r="V231" s="58">
        <f>SUM(P232:T232)-U220</f>
        <v>0</v>
      </c>
      <c r="W231" s="80">
        <f>U232-V231</f>
        <v>0</v>
      </c>
      <c r="X231" s="58" t="s">
        <v>231</v>
      </c>
    </row>
    <row r="232" spans="1:24" hidden="1" x14ac:dyDescent="0.25">
      <c r="A232" s="97" t="s">
        <v>223</v>
      </c>
      <c r="B232" s="103"/>
      <c r="C232" s="103"/>
      <c r="D232" s="103"/>
      <c r="E232" s="103"/>
      <c r="F232" s="103"/>
      <c r="G232" s="104">
        <v>0</v>
      </c>
      <c r="P232" s="103"/>
      <c r="Q232" s="103"/>
      <c r="R232" s="103"/>
      <c r="S232" s="103"/>
      <c r="T232" s="103"/>
      <c r="U232" s="104">
        <f>+U221-U223-U224-U225-U226-U229-U227-U228-U230-U231</f>
        <v>0</v>
      </c>
      <c r="W232" s="80">
        <f>U232-V232</f>
        <v>0</v>
      </c>
      <c r="X232" s="59" t="s">
        <v>233</v>
      </c>
    </row>
    <row r="233" spans="1:24" ht="15.75" hidden="1" thickBot="1" x14ac:dyDescent="0.3">
      <c r="A233" s="43" t="s">
        <v>232</v>
      </c>
      <c r="B233" s="44"/>
      <c r="C233" s="44"/>
      <c r="D233" s="44"/>
      <c r="E233" s="44"/>
      <c r="F233" s="44"/>
      <c r="G233" s="42"/>
      <c r="P233" s="44"/>
      <c r="Q233" s="44"/>
      <c r="R233" s="44"/>
      <c r="S233" s="44"/>
      <c r="T233" s="44"/>
      <c r="U233" s="42"/>
    </row>
    <row r="234" spans="1:24" ht="14.45" hidden="1" customHeight="1" x14ac:dyDescent="0.25">
      <c r="A234" s="118" t="s">
        <v>211</v>
      </c>
      <c r="D234" s="59"/>
      <c r="E234" s="59"/>
      <c r="F234" s="59"/>
      <c r="G234" s="59"/>
      <c r="P234" s="59"/>
      <c r="Q234" s="59"/>
      <c r="R234" s="59"/>
      <c r="S234" s="59"/>
      <c r="T234" s="59"/>
      <c r="U234" s="59"/>
    </row>
    <row r="235" spans="1:24" ht="14.45" hidden="1" customHeight="1" x14ac:dyDescent="0.25">
      <c r="A235" s="119" t="s">
        <v>212</v>
      </c>
      <c r="D235" s="59"/>
      <c r="E235" s="59"/>
      <c r="F235" s="59"/>
      <c r="G235" s="59"/>
      <c r="P235" s="59"/>
      <c r="Q235" s="59"/>
      <c r="R235" s="59"/>
      <c r="S235" s="59"/>
      <c r="T235" s="59"/>
      <c r="U235" s="59"/>
    </row>
    <row r="236" spans="1:24" ht="14.45" hidden="1" customHeight="1" x14ac:dyDescent="0.25">
      <c r="A236" s="120">
        <v>43434</v>
      </c>
      <c r="D236" s="59"/>
      <c r="E236" s="59"/>
      <c r="F236" s="59"/>
      <c r="G236" s="59"/>
      <c r="P236" s="59"/>
      <c r="Q236" s="59"/>
      <c r="R236" s="59"/>
      <c r="S236" s="59"/>
      <c r="T236" s="59"/>
      <c r="U236" s="59"/>
    </row>
    <row r="237" spans="1:24" s="68" customFormat="1" hidden="1" x14ac:dyDescent="0.25">
      <c r="A237" s="61"/>
      <c r="B237" s="62"/>
      <c r="C237" s="62"/>
      <c r="D237" s="62"/>
      <c r="E237" s="62"/>
      <c r="F237" s="62"/>
      <c r="G237" s="63"/>
      <c r="P237" s="62"/>
      <c r="Q237" s="62"/>
      <c r="R237" s="62"/>
      <c r="S237" s="62"/>
      <c r="T237" s="62"/>
      <c r="U237" s="63"/>
      <c r="V237" s="67"/>
    </row>
    <row r="238" spans="1:24" hidden="1" x14ac:dyDescent="0.25">
      <c r="A238" s="64"/>
      <c r="B238" s="65" t="s">
        <v>213</v>
      </c>
      <c r="C238" s="65" t="s">
        <v>214</v>
      </c>
      <c r="D238" s="65" t="s">
        <v>215</v>
      </c>
      <c r="E238" s="65" t="s">
        <v>216</v>
      </c>
      <c r="F238" s="65" t="s">
        <v>217</v>
      </c>
      <c r="G238" s="66" t="s">
        <v>218</v>
      </c>
      <c r="P238" s="65" t="s">
        <v>213</v>
      </c>
      <c r="Q238" s="65" t="s">
        <v>214</v>
      </c>
      <c r="R238" s="65" t="s">
        <v>215</v>
      </c>
      <c r="S238" s="65" t="s">
        <v>216</v>
      </c>
      <c r="T238" s="65" t="s">
        <v>217</v>
      </c>
      <c r="U238" s="66" t="s">
        <v>218</v>
      </c>
    </row>
    <row r="239" spans="1:24" hidden="1" x14ac:dyDescent="0.25">
      <c r="A239" s="64" t="s">
        <v>63</v>
      </c>
      <c r="B239" s="2"/>
      <c r="C239" s="2"/>
      <c r="D239" s="2"/>
      <c r="E239" s="2"/>
      <c r="F239" s="2"/>
      <c r="G239" s="69">
        <v>0</v>
      </c>
      <c r="P239" s="2"/>
      <c r="Q239" s="2"/>
      <c r="R239" s="2"/>
      <c r="S239" s="2"/>
      <c r="T239" s="2"/>
      <c r="U239" s="69">
        <f>SUM(P239:T239)</f>
        <v>0</v>
      </c>
      <c r="V239" s="105"/>
    </row>
    <row r="240" spans="1:24" hidden="1" x14ac:dyDescent="0.25">
      <c r="A240" s="64" t="s">
        <v>219</v>
      </c>
      <c r="B240" s="2"/>
      <c r="C240" s="2"/>
      <c r="D240" s="2"/>
      <c r="E240" s="2"/>
      <c r="F240" s="2"/>
      <c r="G240" s="69">
        <v>0</v>
      </c>
      <c r="P240" s="2"/>
      <c r="Q240" s="2"/>
      <c r="R240" s="2"/>
      <c r="S240" s="2"/>
      <c r="T240" s="2"/>
      <c r="U240" s="69">
        <f>SUM(P240:T240)</f>
        <v>0</v>
      </c>
      <c r="V240" s="105"/>
    </row>
    <row r="241" spans="1:24" hidden="1" x14ac:dyDescent="0.25">
      <c r="A241" s="64" t="s">
        <v>220</v>
      </c>
      <c r="B241" s="2"/>
      <c r="C241" s="2"/>
      <c r="D241" s="2"/>
      <c r="E241" s="2"/>
      <c r="F241" s="2"/>
      <c r="G241" s="69">
        <v>0</v>
      </c>
      <c r="P241" s="2"/>
      <c r="Q241" s="2"/>
      <c r="R241" s="2"/>
      <c r="S241" s="2"/>
      <c r="T241" s="2"/>
      <c r="U241" s="69">
        <f>SUM(P241:T241)</f>
        <v>0</v>
      </c>
      <c r="V241" s="105"/>
    </row>
    <row r="242" spans="1:24" hidden="1" x14ac:dyDescent="0.25">
      <c r="A242" s="64" t="s">
        <v>221</v>
      </c>
      <c r="B242" s="2"/>
      <c r="C242" s="2"/>
      <c r="D242" s="2"/>
      <c r="E242" s="2"/>
      <c r="F242" s="2"/>
      <c r="G242" s="69">
        <v>0</v>
      </c>
      <c r="P242" s="2"/>
      <c r="Q242" s="2"/>
      <c r="R242" s="2"/>
      <c r="S242" s="2"/>
      <c r="T242" s="2"/>
      <c r="U242" s="69">
        <f>SUM(P242:T242)</f>
        <v>0</v>
      </c>
      <c r="V242" s="105"/>
    </row>
    <row r="243" spans="1:24" hidden="1" x14ac:dyDescent="0.25">
      <c r="A243" s="64" t="s">
        <v>222</v>
      </c>
      <c r="B243" s="12"/>
      <c r="C243" s="2"/>
      <c r="D243" s="77"/>
      <c r="E243" s="77"/>
      <c r="F243" s="77"/>
      <c r="G243" s="78">
        <v>0</v>
      </c>
      <c r="P243" s="12"/>
      <c r="Q243" s="2"/>
      <c r="R243" s="77"/>
      <c r="S243" s="77"/>
      <c r="T243" s="77"/>
      <c r="U243" s="78">
        <f>SUM(P243:T243)</f>
        <v>0</v>
      </c>
      <c r="V243" s="105"/>
      <c r="W243" s="106"/>
      <c r="X243" s="80"/>
    </row>
    <row r="244" spans="1:24" ht="15.75" hidden="1" thickBot="1" x14ac:dyDescent="0.3">
      <c r="A244" s="64" t="s">
        <v>224</v>
      </c>
      <c r="B244" s="84"/>
      <c r="C244" s="84"/>
      <c r="D244" s="84"/>
      <c r="E244" s="84"/>
      <c r="F244" s="84"/>
      <c r="G244" s="107"/>
      <c r="P244" s="84"/>
      <c r="Q244" s="84"/>
      <c r="R244" s="84"/>
      <c r="S244" s="84"/>
      <c r="T244" s="84"/>
      <c r="U244" s="107"/>
      <c r="V244" s="105"/>
      <c r="W244" s="106"/>
    </row>
    <row r="245" spans="1:24" ht="15.75" hidden="1" thickBot="1" x14ac:dyDescent="0.3">
      <c r="A245" s="64"/>
      <c r="B245" s="86">
        <v>0</v>
      </c>
      <c r="C245" s="86">
        <v>0</v>
      </c>
      <c r="D245" s="86">
        <v>0</v>
      </c>
      <c r="E245" s="86">
        <v>0</v>
      </c>
      <c r="F245" s="86">
        <v>0</v>
      </c>
      <c r="G245" s="76">
        <v>0</v>
      </c>
      <c r="P245" s="86">
        <f>+P239-P240-P241-P242-P243</f>
        <v>0</v>
      </c>
      <c r="Q245" s="86">
        <f>+Q239-Q240-Q241-Q242-Q243</f>
        <v>0</v>
      </c>
      <c r="R245" s="86">
        <f>+R239-R240-R241-R242-R243</f>
        <v>0</v>
      </c>
      <c r="S245" s="86">
        <f>+S239-S240-S241-S242-S243</f>
        <v>0</v>
      </c>
      <c r="T245" s="86">
        <f>+T239-T240-T241-T242-T243</f>
        <v>0</v>
      </c>
      <c r="U245" s="76">
        <f>+U239-U240-U241-U242-U243-U244</f>
        <v>0</v>
      </c>
      <c r="W245" s="71"/>
    </row>
    <row r="246" spans="1:24" hidden="1" x14ac:dyDescent="0.25">
      <c r="A246" s="64"/>
      <c r="B246" s="87"/>
      <c r="C246" s="87"/>
      <c r="D246" s="87"/>
      <c r="E246" s="87"/>
      <c r="F246" s="87"/>
      <c r="G246" s="69"/>
      <c r="P246" s="87"/>
      <c r="Q246" s="87"/>
      <c r="R246" s="87"/>
      <c r="S246" s="87"/>
      <c r="T246" s="87"/>
      <c r="U246" s="69"/>
      <c r="X246" s="80"/>
    </row>
    <row r="247" spans="1:24" hidden="1" x14ac:dyDescent="0.25">
      <c r="A247" s="64" t="s">
        <v>225</v>
      </c>
      <c r="B247" s="2"/>
      <c r="C247" s="2"/>
      <c r="D247" s="2"/>
      <c r="E247" s="2"/>
      <c r="F247" s="2"/>
      <c r="G247" s="69">
        <v>0</v>
      </c>
      <c r="P247" s="2"/>
      <c r="Q247" s="2"/>
      <c r="R247" s="2"/>
      <c r="S247" s="2"/>
      <c r="T247" s="2"/>
      <c r="U247" s="69">
        <f t="shared" ref="U247:U254" si="18">SUM(P247:T247)</f>
        <v>0</v>
      </c>
      <c r="V247" s="105"/>
    </row>
    <row r="248" spans="1:24" hidden="1" x14ac:dyDescent="0.25">
      <c r="A248" s="64" t="s">
        <v>226</v>
      </c>
      <c r="B248" s="8"/>
      <c r="C248" s="8"/>
      <c r="D248" s="8"/>
      <c r="E248" s="8"/>
      <c r="F248" s="8"/>
      <c r="G248" s="69">
        <v>0</v>
      </c>
      <c r="P248" s="8"/>
      <c r="Q248" s="8"/>
      <c r="R248" s="8"/>
      <c r="S248" s="8"/>
      <c r="T248" s="8"/>
      <c r="U248" s="69">
        <f t="shared" si="18"/>
        <v>0</v>
      </c>
      <c r="V248" s="105"/>
    </row>
    <row r="249" spans="1:24" hidden="1" x14ac:dyDescent="0.25">
      <c r="A249" s="64" t="s">
        <v>227</v>
      </c>
      <c r="B249" s="8"/>
      <c r="C249" s="8"/>
      <c r="D249" s="8"/>
      <c r="E249" s="8"/>
      <c r="F249" s="8"/>
      <c r="G249" s="69">
        <v>0</v>
      </c>
      <c r="P249" s="8"/>
      <c r="Q249" s="8"/>
      <c r="R249" s="8"/>
      <c r="S249" s="8"/>
      <c r="T249" s="8"/>
      <c r="U249" s="69">
        <f t="shared" si="18"/>
        <v>0</v>
      </c>
      <c r="V249" s="105"/>
    </row>
    <row r="250" spans="1:24" hidden="1" x14ac:dyDescent="0.25">
      <c r="A250" s="64" t="s">
        <v>228</v>
      </c>
      <c r="B250" s="8"/>
      <c r="C250" s="8"/>
      <c r="D250" s="8"/>
      <c r="E250" s="8"/>
      <c r="F250" s="8"/>
      <c r="G250" s="69">
        <v>0</v>
      </c>
      <c r="P250" s="8"/>
      <c r="Q250" s="8"/>
      <c r="R250" s="8"/>
      <c r="S250" s="8"/>
      <c r="T250" s="8"/>
      <c r="U250" s="69">
        <f t="shared" si="18"/>
        <v>0</v>
      </c>
    </row>
    <row r="251" spans="1:24" hidden="1" x14ac:dyDescent="0.25">
      <c r="A251" s="64" t="s">
        <v>229</v>
      </c>
      <c r="B251" s="8"/>
      <c r="C251" s="8"/>
      <c r="D251" s="8"/>
      <c r="E251" s="8"/>
      <c r="F251" s="8"/>
      <c r="G251" s="69">
        <v>0</v>
      </c>
      <c r="P251" s="8"/>
      <c r="Q251" s="8"/>
      <c r="R251" s="8"/>
      <c r="S251" s="8"/>
      <c r="T251" s="8"/>
      <c r="U251" s="69">
        <f t="shared" si="18"/>
        <v>0</v>
      </c>
    </row>
    <row r="252" spans="1:24" hidden="1" x14ac:dyDescent="0.25">
      <c r="A252" s="64" t="s">
        <v>37</v>
      </c>
      <c r="B252" s="8"/>
      <c r="C252" s="8"/>
      <c r="D252" s="8"/>
      <c r="E252" s="8"/>
      <c r="F252" s="8"/>
      <c r="G252" s="69">
        <v>0</v>
      </c>
      <c r="P252" s="8"/>
      <c r="Q252" s="8"/>
      <c r="R252" s="8"/>
      <c r="S252" s="8"/>
      <c r="T252" s="8"/>
      <c r="U252" s="69">
        <f t="shared" si="18"/>
        <v>0</v>
      </c>
    </row>
    <row r="253" spans="1:24" hidden="1" x14ac:dyDescent="0.25">
      <c r="A253" s="64" t="s">
        <v>230</v>
      </c>
      <c r="B253" s="8"/>
      <c r="C253" s="8"/>
      <c r="D253" s="8"/>
      <c r="E253" s="8"/>
      <c r="F253" s="8"/>
      <c r="G253" s="69">
        <v>0</v>
      </c>
      <c r="P253" s="8"/>
      <c r="Q253" s="8"/>
      <c r="R253" s="8"/>
      <c r="S253" s="8"/>
      <c r="T253" s="8"/>
      <c r="U253" s="69">
        <f t="shared" si="18"/>
        <v>0</v>
      </c>
    </row>
    <row r="254" spans="1:24" hidden="1" x14ac:dyDescent="0.25">
      <c r="A254" s="97" t="s">
        <v>238</v>
      </c>
      <c r="B254" s="87"/>
      <c r="C254" s="87"/>
      <c r="D254" s="87"/>
      <c r="E254" s="87"/>
      <c r="F254" s="87"/>
      <c r="G254" s="69">
        <v>0</v>
      </c>
      <c r="P254" s="87"/>
      <c r="Q254" s="87"/>
      <c r="R254" s="87"/>
      <c r="S254" s="87"/>
      <c r="T254" s="87"/>
      <c r="U254" s="69">
        <f t="shared" si="18"/>
        <v>0</v>
      </c>
      <c r="V254" s="58">
        <f>SUM(P255:T255)-U244</f>
        <v>0</v>
      </c>
      <c r="W254" s="80">
        <f>U255-V254</f>
        <v>0</v>
      </c>
      <c r="X254" s="58" t="s">
        <v>231</v>
      </c>
    </row>
    <row r="255" spans="1:24" hidden="1" x14ac:dyDescent="0.25">
      <c r="A255" s="64" t="s">
        <v>223</v>
      </c>
      <c r="B255" s="87"/>
      <c r="C255" s="87"/>
      <c r="D255" s="87"/>
      <c r="E255" s="87"/>
      <c r="F255" s="87"/>
      <c r="G255" s="104">
        <v>0</v>
      </c>
      <c r="P255" s="87"/>
      <c r="Q255" s="87"/>
      <c r="R255" s="87"/>
      <c r="S255" s="87"/>
      <c r="T255" s="87"/>
      <c r="U255" s="104">
        <f>U245-U247-U248-U249-U250-U251-U252</f>
        <v>0</v>
      </c>
      <c r="W255" s="80">
        <f>U255-V255</f>
        <v>0</v>
      </c>
      <c r="X255" s="59" t="s">
        <v>233</v>
      </c>
    </row>
    <row r="256" spans="1:24" ht="15.75" hidden="1" thickBot="1" x14ac:dyDescent="0.3">
      <c r="A256" s="82" t="s">
        <v>232</v>
      </c>
      <c r="B256" s="89"/>
      <c r="C256" s="89"/>
      <c r="D256" s="89"/>
      <c r="E256" s="89"/>
      <c r="F256" s="89"/>
      <c r="G256" s="90"/>
      <c r="P256" s="89"/>
      <c r="Q256" s="89"/>
      <c r="R256" s="89"/>
      <c r="S256" s="89"/>
      <c r="T256" s="89"/>
      <c r="U256" s="90"/>
    </row>
    <row r="257" spans="1:23" ht="14.45" hidden="1" customHeight="1" x14ac:dyDescent="0.25">
      <c r="A257" s="118" t="s">
        <v>211</v>
      </c>
      <c r="D257" s="59"/>
      <c r="E257" s="59"/>
      <c r="F257" s="59"/>
      <c r="G257" s="59"/>
      <c r="P257" s="59"/>
      <c r="Q257" s="59"/>
      <c r="R257" s="59"/>
      <c r="S257" s="59"/>
      <c r="T257" s="59"/>
      <c r="U257" s="59"/>
      <c r="W257" s="80">
        <f>W255/2</f>
        <v>0</v>
      </c>
    </row>
    <row r="258" spans="1:23" ht="14.45" hidden="1" customHeight="1" x14ac:dyDescent="0.25">
      <c r="A258" s="119" t="s">
        <v>212</v>
      </c>
      <c r="D258" s="59"/>
      <c r="E258" s="59"/>
      <c r="F258" s="59"/>
      <c r="G258" s="59"/>
      <c r="P258" s="59"/>
      <c r="Q258" s="59"/>
      <c r="R258" s="59"/>
      <c r="S258" s="59"/>
      <c r="T258" s="59"/>
      <c r="U258" s="59"/>
    </row>
    <row r="259" spans="1:23" ht="14.45" hidden="1" customHeight="1" x14ac:dyDescent="0.25">
      <c r="A259" s="120">
        <v>43465</v>
      </c>
      <c r="D259" s="59"/>
      <c r="E259" s="59"/>
      <c r="F259" s="59"/>
      <c r="G259" s="59"/>
      <c r="P259" s="59"/>
      <c r="Q259" s="59"/>
      <c r="R259" s="59"/>
      <c r="S259" s="59"/>
      <c r="T259" s="59"/>
      <c r="U259" s="59"/>
    </row>
    <row r="260" spans="1:23" s="68" customFormat="1" hidden="1" x14ac:dyDescent="0.25">
      <c r="A260" s="61"/>
      <c r="B260" s="62"/>
      <c r="C260" s="62"/>
      <c r="D260" s="62"/>
      <c r="E260" s="62"/>
      <c r="F260" s="62"/>
      <c r="G260" s="63"/>
      <c r="P260" s="62"/>
      <c r="Q260" s="62"/>
      <c r="R260" s="62"/>
      <c r="S260" s="62"/>
      <c r="T260" s="62"/>
      <c r="U260" s="63"/>
      <c r="V260" s="67"/>
    </row>
    <row r="261" spans="1:23" hidden="1" x14ac:dyDescent="0.25">
      <c r="A261" s="64"/>
      <c r="B261" s="65" t="s">
        <v>213</v>
      </c>
      <c r="C261" s="65" t="s">
        <v>214</v>
      </c>
      <c r="D261" s="65" t="s">
        <v>215</v>
      </c>
      <c r="E261" s="65" t="s">
        <v>216</v>
      </c>
      <c r="F261" s="65" t="s">
        <v>217</v>
      </c>
      <c r="G261" s="66" t="s">
        <v>218</v>
      </c>
      <c r="P261" s="65" t="s">
        <v>213</v>
      </c>
      <c r="Q261" s="65" t="s">
        <v>214</v>
      </c>
      <c r="R261" s="65" t="s">
        <v>215</v>
      </c>
      <c r="S261" s="65" t="s">
        <v>216</v>
      </c>
      <c r="T261" s="65" t="s">
        <v>217</v>
      </c>
      <c r="U261" s="66" t="s">
        <v>218</v>
      </c>
    </row>
    <row r="262" spans="1:23" hidden="1" x14ac:dyDescent="0.25">
      <c r="A262" s="64" t="s">
        <v>63</v>
      </c>
      <c r="B262" s="2"/>
      <c r="C262" s="2"/>
      <c r="D262" s="2"/>
      <c r="E262" s="2"/>
      <c r="F262" s="2"/>
      <c r="G262" s="69">
        <v>0</v>
      </c>
      <c r="P262" s="2"/>
      <c r="Q262" s="2"/>
      <c r="R262" s="2"/>
      <c r="S262" s="2"/>
      <c r="T262" s="2"/>
      <c r="U262" s="69">
        <f>SUM(P262:T262)</f>
        <v>0</v>
      </c>
    </row>
    <row r="263" spans="1:23" hidden="1" x14ac:dyDescent="0.25">
      <c r="A263" s="64" t="s">
        <v>219</v>
      </c>
      <c r="B263" s="2"/>
      <c r="C263" s="2"/>
      <c r="D263" s="2"/>
      <c r="E263" s="2"/>
      <c r="F263" s="2"/>
      <c r="G263" s="69">
        <v>0</v>
      </c>
      <c r="P263" s="2"/>
      <c r="Q263" s="2"/>
      <c r="R263" s="2"/>
      <c r="S263" s="2"/>
      <c r="T263" s="2"/>
      <c r="U263" s="69">
        <f>SUM(P263:T263)</f>
        <v>0</v>
      </c>
    </row>
    <row r="264" spans="1:23" hidden="1" x14ac:dyDescent="0.25">
      <c r="A264" s="64" t="s">
        <v>220</v>
      </c>
      <c r="B264" s="2"/>
      <c r="C264" s="2"/>
      <c r="D264" s="2"/>
      <c r="E264" s="2"/>
      <c r="F264" s="2"/>
      <c r="G264" s="69">
        <v>0</v>
      </c>
      <c r="P264" s="2"/>
      <c r="Q264" s="2"/>
      <c r="R264" s="2"/>
      <c r="S264" s="2"/>
      <c r="T264" s="2"/>
      <c r="U264" s="69">
        <f>SUM(P264:T264)</f>
        <v>0</v>
      </c>
    </row>
    <row r="265" spans="1:23" hidden="1" x14ac:dyDescent="0.25">
      <c r="A265" s="64" t="s">
        <v>221</v>
      </c>
      <c r="B265" s="2"/>
      <c r="C265" s="2"/>
      <c r="D265" s="2"/>
      <c r="E265" s="2"/>
      <c r="F265" s="2"/>
      <c r="G265" s="69">
        <v>0</v>
      </c>
      <c r="P265" s="2"/>
      <c r="Q265" s="2"/>
      <c r="R265" s="2"/>
      <c r="S265" s="2"/>
      <c r="T265" s="2"/>
      <c r="U265" s="69">
        <f>SUM(P265:T265)</f>
        <v>0</v>
      </c>
    </row>
    <row r="266" spans="1:23" hidden="1" x14ac:dyDescent="0.25">
      <c r="A266" s="64" t="s">
        <v>222</v>
      </c>
      <c r="B266" s="2"/>
      <c r="C266" s="2"/>
      <c r="D266" s="2"/>
      <c r="E266" s="2"/>
      <c r="F266" s="2"/>
      <c r="G266" s="69">
        <v>0</v>
      </c>
      <c r="P266" s="2"/>
      <c r="Q266" s="2"/>
      <c r="R266" s="2"/>
      <c r="S266" s="2"/>
      <c r="T266" s="2"/>
      <c r="U266" s="69">
        <f>SUM(P266:T266)</f>
        <v>0</v>
      </c>
    </row>
    <row r="267" spans="1:23" ht="15.75" hidden="1" thickBot="1" x14ac:dyDescent="0.3">
      <c r="A267" s="64" t="s">
        <v>224</v>
      </c>
      <c r="B267" s="84"/>
      <c r="C267" s="84"/>
      <c r="D267" s="84"/>
      <c r="E267" s="84"/>
      <c r="F267" s="84"/>
      <c r="G267" s="85"/>
      <c r="P267" s="84"/>
      <c r="Q267" s="84"/>
      <c r="R267" s="84"/>
      <c r="S267" s="84"/>
      <c r="T267" s="84"/>
      <c r="U267" s="85"/>
    </row>
    <row r="268" spans="1:23" ht="15.75" hidden="1" thickBot="1" x14ac:dyDescent="0.3">
      <c r="A268" s="64"/>
      <c r="B268" s="86">
        <v>0</v>
      </c>
      <c r="C268" s="86">
        <v>0</v>
      </c>
      <c r="D268" s="86">
        <v>0</v>
      </c>
      <c r="E268" s="86">
        <v>0</v>
      </c>
      <c r="F268" s="86">
        <v>0</v>
      </c>
      <c r="G268" s="76">
        <v>0</v>
      </c>
      <c r="P268" s="86">
        <f>+P262-P263-P264-P265-P266</f>
        <v>0</v>
      </c>
      <c r="Q268" s="86">
        <f>+Q262-Q263-Q264-Q265-Q266</f>
        <v>0</v>
      </c>
      <c r="R268" s="86">
        <f>+R262-R263-R264-R265-R266</f>
        <v>0</v>
      </c>
      <c r="S268" s="86">
        <f>+S262-S263-S264-S265-S266</f>
        <v>0</v>
      </c>
      <c r="T268" s="86">
        <f>+T262-T263-T264-T265-T266</f>
        <v>0</v>
      </c>
      <c r="U268" s="76">
        <f>+U262-U263-U264-U265-U266-U267</f>
        <v>0</v>
      </c>
    </row>
    <row r="269" spans="1:23" hidden="1" x14ac:dyDescent="0.25">
      <c r="A269" s="64"/>
      <c r="B269" s="87"/>
      <c r="C269" s="87"/>
      <c r="D269" s="87"/>
      <c r="E269" s="87"/>
      <c r="F269" s="87"/>
      <c r="G269" s="69"/>
      <c r="P269" s="87"/>
      <c r="Q269" s="87"/>
      <c r="R269" s="87"/>
      <c r="S269" s="87"/>
      <c r="T269" s="87"/>
      <c r="U269" s="69"/>
    </row>
    <row r="270" spans="1:23" hidden="1" x14ac:dyDescent="0.25">
      <c r="A270" s="64" t="s">
        <v>225</v>
      </c>
      <c r="B270" s="87"/>
      <c r="C270" s="87"/>
      <c r="D270" s="87"/>
      <c r="E270" s="87"/>
      <c r="F270" s="87"/>
      <c r="G270" s="69">
        <v>0</v>
      </c>
      <c r="P270" s="87"/>
      <c r="Q270" s="87"/>
      <c r="R270" s="87"/>
      <c r="S270" s="87"/>
      <c r="T270" s="87"/>
      <c r="U270" s="69">
        <f t="shared" ref="U270:U276" si="19">SUM(P270:T270)</f>
        <v>0</v>
      </c>
    </row>
    <row r="271" spans="1:23" hidden="1" x14ac:dyDescent="0.25">
      <c r="A271" s="64" t="s">
        <v>226</v>
      </c>
      <c r="B271" s="8"/>
      <c r="C271" s="8"/>
      <c r="D271" s="8"/>
      <c r="E271" s="8"/>
      <c r="F271" s="8"/>
      <c r="G271" s="69">
        <v>0</v>
      </c>
      <c r="P271" s="8"/>
      <c r="Q271" s="8"/>
      <c r="R271" s="8"/>
      <c r="S271" s="8"/>
      <c r="T271" s="8"/>
      <c r="U271" s="69">
        <f t="shared" si="19"/>
        <v>0</v>
      </c>
    </row>
    <row r="272" spans="1:23" hidden="1" x14ac:dyDescent="0.25">
      <c r="A272" s="64" t="s">
        <v>227</v>
      </c>
      <c r="B272" s="21"/>
      <c r="C272" s="21"/>
      <c r="D272" s="8"/>
      <c r="E272" s="8"/>
      <c r="F272" s="8"/>
      <c r="G272" s="69">
        <v>0</v>
      </c>
      <c r="P272" s="21"/>
      <c r="Q272" s="21"/>
      <c r="R272" s="8"/>
      <c r="S272" s="8"/>
      <c r="T272" s="8"/>
      <c r="U272" s="69">
        <f t="shared" si="19"/>
        <v>0</v>
      </c>
    </row>
    <row r="273" spans="1:24" hidden="1" x14ac:dyDescent="0.25">
      <c r="A273" s="64" t="s">
        <v>228</v>
      </c>
      <c r="B273" s="8"/>
      <c r="C273" s="8"/>
      <c r="D273" s="8"/>
      <c r="E273" s="8"/>
      <c r="F273" s="8"/>
      <c r="G273" s="69">
        <v>0</v>
      </c>
      <c r="P273" s="8"/>
      <c r="Q273" s="8"/>
      <c r="R273" s="8"/>
      <c r="S273" s="8"/>
      <c r="T273" s="8"/>
      <c r="U273" s="69">
        <f t="shared" si="19"/>
        <v>0</v>
      </c>
    </row>
    <row r="274" spans="1:24" hidden="1" x14ac:dyDescent="0.25">
      <c r="A274" s="64" t="s">
        <v>229</v>
      </c>
      <c r="B274" s="8"/>
      <c r="C274" s="8"/>
      <c r="D274" s="8"/>
      <c r="E274" s="8"/>
      <c r="F274" s="8"/>
      <c r="G274" s="69">
        <v>0</v>
      </c>
      <c r="P274" s="8"/>
      <c r="Q274" s="8"/>
      <c r="R274" s="8"/>
      <c r="S274" s="8"/>
      <c r="T274" s="8"/>
      <c r="U274" s="69">
        <f t="shared" si="19"/>
        <v>0</v>
      </c>
    </row>
    <row r="275" spans="1:24" hidden="1" x14ac:dyDescent="0.25">
      <c r="A275" s="64" t="s">
        <v>37</v>
      </c>
      <c r="B275" s="8"/>
      <c r="C275" s="8"/>
      <c r="D275" s="8"/>
      <c r="E275" s="8"/>
      <c r="F275" s="8"/>
      <c r="G275" s="69">
        <v>0</v>
      </c>
      <c r="P275" s="8"/>
      <c r="Q275" s="8"/>
      <c r="R275" s="8"/>
      <c r="S275" s="8"/>
      <c r="T275" s="8"/>
      <c r="U275" s="69">
        <f t="shared" si="19"/>
        <v>0</v>
      </c>
    </row>
    <row r="276" spans="1:24" hidden="1" x14ac:dyDescent="0.25">
      <c r="A276" s="64" t="s">
        <v>230</v>
      </c>
      <c r="B276" s="8"/>
      <c r="C276" s="8"/>
      <c r="D276" s="8"/>
      <c r="E276" s="8"/>
      <c r="F276" s="8"/>
      <c r="G276" s="69">
        <v>0</v>
      </c>
      <c r="P276" s="8"/>
      <c r="Q276" s="8"/>
      <c r="R276" s="8"/>
      <c r="S276" s="8"/>
      <c r="T276" s="8"/>
      <c r="U276" s="69">
        <f t="shared" si="19"/>
        <v>0</v>
      </c>
    </row>
    <row r="277" spans="1:24" hidden="1" x14ac:dyDescent="0.25">
      <c r="A277" s="97" t="s">
        <v>239</v>
      </c>
      <c r="B277" s="8"/>
      <c r="C277" s="8"/>
      <c r="D277" s="8"/>
      <c r="E277" s="8"/>
      <c r="F277" s="8"/>
      <c r="G277" s="83">
        <v>0</v>
      </c>
      <c r="P277" s="8"/>
      <c r="Q277" s="8"/>
      <c r="R277" s="8"/>
      <c r="S277" s="8"/>
      <c r="T277" s="8"/>
      <c r="U277" s="83">
        <f>SUM(P277:T277)</f>
        <v>0</v>
      </c>
      <c r="V277" s="58">
        <f>SUM(P278:T278)-U267</f>
        <v>0</v>
      </c>
      <c r="W277" s="80">
        <f>U278-V277</f>
        <v>0</v>
      </c>
      <c r="X277" s="58" t="s">
        <v>231</v>
      </c>
    </row>
    <row r="278" spans="1:24" hidden="1" x14ac:dyDescent="0.25">
      <c r="A278" s="64" t="s">
        <v>223</v>
      </c>
      <c r="B278" s="88"/>
      <c r="C278" s="88"/>
      <c r="D278" s="88"/>
      <c r="E278" s="88"/>
      <c r="F278" s="88"/>
      <c r="G278" s="92">
        <v>0</v>
      </c>
      <c r="P278" s="88"/>
      <c r="Q278" s="88"/>
      <c r="R278" s="88"/>
      <c r="S278" s="88"/>
      <c r="T278" s="88"/>
      <c r="U278" s="92">
        <f>+U268-U270-U271-U272-U273-U276-U274-U275</f>
        <v>0</v>
      </c>
      <c r="W278" s="80">
        <f>U278-V278</f>
        <v>0</v>
      </c>
      <c r="X278" s="59" t="s">
        <v>233</v>
      </c>
    </row>
    <row r="279" spans="1:24" hidden="1" x14ac:dyDescent="0.25">
      <c r="A279" s="108" t="s">
        <v>232</v>
      </c>
      <c r="B279" s="87"/>
      <c r="C279" s="87"/>
      <c r="D279" s="87"/>
      <c r="E279" s="87"/>
      <c r="F279" s="87"/>
      <c r="G279" s="69"/>
      <c r="P279" s="87"/>
      <c r="Q279" s="87"/>
      <c r="R279" s="87"/>
      <c r="S279" s="87"/>
      <c r="T279" s="87"/>
      <c r="U279" s="69"/>
    </row>
    <row r="280" spans="1:24" x14ac:dyDescent="0.25">
      <c r="A280" s="109" t="s">
        <v>212</v>
      </c>
      <c r="B280" s="110"/>
      <c r="C280" s="110"/>
      <c r="D280" s="110"/>
      <c r="E280" s="110"/>
      <c r="F280" s="110"/>
      <c r="G280" s="111"/>
      <c r="P280" s="110"/>
      <c r="Q280" s="110"/>
      <c r="R280" s="110"/>
      <c r="S280" s="110"/>
      <c r="T280" s="110"/>
      <c r="U280" s="111"/>
    </row>
    <row r="281" spans="1:24" x14ac:dyDescent="0.25">
      <c r="A281" s="61" t="s">
        <v>240</v>
      </c>
      <c r="B281" s="62"/>
      <c r="C281" s="62"/>
      <c r="D281" s="62"/>
      <c r="E281" s="62"/>
      <c r="F281" s="62"/>
      <c r="G281" s="63"/>
      <c r="P281" s="62"/>
      <c r="Q281" s="62"/>
      <c r="R281" s="62"/>
      <c r="S281" s="62"/>
      <c r="T281" s="62"/>
      <c r="U281" s="63"/>
    </row>
    <row r="282" spans="1:24" x14ac:dyDescent="0.25">
      <c r="A282" s="61"/>
      <c r="B282" s="62"/>
      <c r="C282" s="62"/>
      <c r="D282" s="62"/>
      <c r="E282" s="62"/>
      <c r="F282" s="62"/>
      <c r="G282" s="63"/>
      <c r="P282" s="62"/>
      <c r="Q282" s="62"/>
      <c r="R282" s="62"/>
      <c r="S282" s="62"/>
      <c r="T282" s="62"/>
      <c r="U282" s="63"/>
    </row>
    <row r="283" spans="1:24" x14ac:dyDescent="0.25">
      <c r="A283" s="64"/>
      <c r="B283" s="65" t="s">
        <v>213</v>
      </c>
      <c r="C283" s="65" t="s">
        <v>214</v>
      </c>
      <c r="D283" s="65" t="s">
        <v>215</v>
      </c>
      <c r="E283" s="65" t="s">
        <v>216</v>
      </c>
      <c r="F283" s="65" t="s">
        <v>217</v>
      </c>
      <c r="G283" s="66" t="s">
        <v>218</v>
      </c>
      <c r="P283" s="65" t="s">
        <v>213</v>
      </c>
      <c r="Q283" s="65" t="s">
        <v>214</v>
      </c>
      <c r="R283" s="65" t="s">
        <v>215</v>
      </c>
      <c r="S283" s="65" t="s">
        <v>216</v>
      </c>
      <c r="T283" s="65" t="s">
        <v>217</v>
      </c>
      <c r="U283" s="66" t="s">
        <v>218</v>
      </c>
    </row>
    <row r="284" spans="1:24" x14ac:dyDescent="0.25">
      <c r="A284" s="64" t="s">
        <v>63</v>
      </c>
      <c r="B284" s="7">
        <v>457906563.70999998</v>
      </c>
      <c r="C284" s="7">
        <v>1989101405.0200002</v>
      </c>
      <c r="D284" s="7">
        <v>8049386.8099999996</v>
      </c>
      <c r="E284" s="7">
        <v>8312379.8700000001</v>
      </c>
      <c r="F284" s="7">
        <v>1677325.3900000001</v>
      </c>
      <c r="G284" s="69">
        <v>2465047060.7999997</v>
      </c>
      <c r="P284" s="7">
        <f t="shared" ref="P284:T284" si="20">+P6+P29+P52+P75+P99+P122+P145+P168+P191+P214+P239+P262</f>
        <v>457906563.70999998</v>
      </c>
      <c r="Q284" s="7">
        <f t="shared" si="20"/>
        <v>1989101405.0200002</v>
      </c>
      <c r="R284" s="7">
        <f t="shared" si="20"/>
        <v>8049386.8099999996</v>
      </c>
      <c r="S284" s="7">
        <f t="shared" si="20"/>
        <v>8312379.8700000001</v>
      </c>
      <c r="T284" s="7">
        <f t="shared" si="20"/>
        <v>1677325.3900000001</v>
      </c>
      <c r="U284" s="69">
        <f t="shared" ref="U284:U289" si="21">SUM(P284:T284)</f>
        <v>2465047060.7999997</v>
      </c>
    </row>
    <row r="285" spans="1:24" x14ac:dyDescent="0.25">
      <c r="A285" s="64" t="s">
        <v>219</v>
      </c>
      <c r="B285" s="7">
        <v>459968414.53999996</v>
      </c>
      <c r="C285" s="7">
        <v>1992171881.79</v>
      </c>
      <c r="D285" s="7">
        <v>7941554.29</v>
      </c>
      <c r="E285" s="7">
        <v>9046965.6300000008</v>
      </c>
      <c r="F285" s="7">
        <v>1656771.56</v>
      </c>
      <c r="G285" s="69">
        <v>2470785587.8099999</v>
      </c>
      <c r="P285" s="7">
        <f t="shared" ref="P285:T285" si="22">+P7+P30+P53+P76+P100+P123+P146+P169+P192+P215+P240+P263</f>
        <v>459968414.53999996</v>
      </c>
      <c r="Q285" s="7">
        <f t="shared" si="22"/>
        <v>1992171881.79</v>
      </c>
      <c r="R285" s="7">
        <f t="shared" si="22"/>
        <v>7941554.29</v>
      </c>
      <c r="S285" s="7">
        <f t="shared" si="22"/>
        <v>9046965.6300000008</v>
      </c>
      <c r="T285" s="7">
        <f t="shared" si="22"/>
        <v>1656771.56</v>
      </c>
      <c r="U285" s="69">
        <f t="shared" si="21"/>
        <v>2470785587.8099999</v>
      </c>
    </row>
    <row r="286" spans="1:24" x14ac:dyDescent="0.25">
      <c r="A286" s="64" t="s">
        <v>220</v>
      </c>
      <c r="B286" s="7">
        <v>-4621016.9799999893</v>
      </c>
      <c r="C286" s="7">
        <v>177210.97999999113</v>
      </c>
      <c r="D286" s="7">
        <v>-96499.9200000001</v>
      </c>
      <c r="E286" s="7">
        <v>-51351.099999999962</v>
      </c>
      <c r="F286" s="7">
        <v>0</v>
      </c>
      <c r="G286" s="69">
        <v>-4591657.0199999977</v>
      </c>
      <c r="P286" s="7">
        <f t="shared" ref="P286:T286" si="23">+P8+P31+P54+P77+P101+P124+P147+P170+P193+P216+P241+P264</f>
        <v>-4621016.9799999893</v>
      </c>
      <c r="Q286" s="7">
        <f t="shared" si="23"/>
        <v>177210.97999999113</v>
      </c>
      <c r="R286" s="7">
        <f t="shared" si="23"/>
        <v>-96499.9200000001</v>
      </c>
      <c r="S286" s="7">
        <f t="shared" si="23"/>
        <v>-51351.099999999962</v>
      </c>
      <c r="T286" s="7">
        <f t="shared" si="23"/>
        <v>0</v>
      </c>
      <c r="U286" s="69">
        <f t="shared" si="21"/>
        <v>-4591657.0199999977</v>
      </c>
    </row>
    <row r="287" spans="1:24" x14ac:dyDescent="0.25">
      <c r="A287" s="64" t="s">
        <v>221</v>
      </c>
      <c r="B287" s="7">
        <v>-1775997.5700000077</v>
      </c>
      <c r="C287" s="7">
        <v>-7520796.1300000027</v>
      </c>
      <c r="D287" s="7">
        <v>90</v>
      </c>
      <c r="E287" s="7">
        <v>0</v>
      </c>
      <c r="F287" s="7">
        <v>0</v>
      </c>
      <c r="G287" s="69">
        <v>-9296703.7000000104</v>
      </c>
      <c r="P287" s="7">
        <f t="shared" ref="P287:T287" si="24">+P9+P32+P55+P78+P102+P125+P148+P171+P194+P217+P242+P265</f>
        <v>-1775997.5700000077</v>
      </c>
      <c r="Q287" s="7">
        <f t="shared" si="24"/>
        <v>-7520796.1300000027</v>
      </c>
      <c r="R287" s="7">
        <f t="shared" si="24"/>
        <v>90</v>
      </c>
      <c r="S287" s="7">
        <f t="shared" si="24"/>
        <v>0</v>
      </c>
      <c r="T287" s="7">
        <f t="shared" si="24"/>
        <v>0</v>
      </c>
      <c r="U287" s="69">
        <f t="shared" si="21"/>
        <v>-9296703.7000000104</v>
      </c>
    </row>
    <row r="288" spans="1:24" x14ac:dyDescent="0.25">
      <c r="A288" s="64" t="s">
        <v>222</v>
      </c>
      <c r="B288" s="7">
        <v>3058124.2628400028</v>
      </c>
      <c r="C288" s="7">
        <v>2910424.8437331957</v>
      </c>
      <c r="D288" s="7">
        <v>87035.871369999368</v>
      </c>
      <c r="E288" s="7">
        <v>-807158.24017500004</v>
      </c>
      <c r="F288" s="7">
        <v>-7044.9800000000105</v>
      </c>
      <c r="G288" s="69">
        <v>5241381.7577681961</v>
      </c>
      <c r="P288" s="7">
        <f t="shared" ref="P288:T288" si="25">+P10+P33+P56+P79+P103+P126+P149+P172+P195+P218+P243+P266</f>
        <v>3058124.2628400028</v>
      </c>
      <c r="Q288" s="7">
        <f t="shared" si="25"/>
        <v>2910424.8437331957</v>
      </c>
      <c r="R288" s="7">
        <f t="shared" si="25"/>
        <v>87035.871369999368</v>
      </c>
      <c r="S288" s="7">
        <f t="shared" si="25"/>
        <v>-807158.24017500004</v>
      </c>
      <c r="T288" s="7">
        <f t="shared" si="25"/>
        <v>-7044.9800000000105</v>
      </c>
      <c r="U288" s="69">
        <f t="shared" si="21"/>
        <v>5241381.7577681961</v>
      </c>
    </row>
    <row r="289" spans="1:24" x14ac:dyDescent="0.25">
      <c r="A289" s="64" t="s">
        <v>234</v>
      </c>
      <c r="B289" s="7">
        <v>111322.78999999998</v>
      </c>
      <c r="C289" s="7">
        <v>0</v>
      </c>
      <c r="D289" s="7">
        <v>0</v>
      </c>
      <c r="E289" s="7">
        <v>0</v>
      </c>
      <c r="F289" s="7">
        <v>0</v>
      </c>
      <c r="G289" s="69">
        <v>111322.78999999998</v>
      </c>
      <c r="P289" s="7">
        <f>+P11+P34+P57+P80+P104+P127+P150+P173+P196+P219+P244+P267</f>
        <v>111322.78999999998</v>
      </c>
      <c r="Q289" s="7">
        <f t="shared" ref="Q289:T289" si="26">+Q11+Q34+Q57+Q80+Q104+Q127+Q150+Q173+Q196+Q219+Q244+Q267</f>
        <v>0</v>
      </c>
      <c r="R289" s="7">
        <f t="shared" si="26"/>
        <v>0</v>
      </c>
      <c r="S289" s="7">
        <f t="shared" si="26"/>
        <v>0</v>
      </c>
      <c r="T289" s="7">
        <f t="shared" si="26"/>
        <v>0</v>
      </c>
      <c r="U289" s="69">
        <f t="shared" si="21"/>
        <v>111322.78999999998</v>
      </c>
    </row>
    <row r="290" spans="1:24" x14ac:dyDescent="0.25">
      <c r="A290" s="64" t="s">
        <v>224</v>
      </c>
      <c r="B290" s="112"/>
      <c r="C290" s="112"/>
      <c r="D290" s="112"/>
      <c r="E290" s="112"/>
      <c r="F290" s="112"/>
      <c r="G290" s="69">
        <v>15869.059999999998</v>
      </c>
      <c r="P290" s="112"/>
      <c r="Q290" s="112"/>
      <c r="R290" s="112"/>
      <c r="S290" s="112"/>
      <c r="T290" s="112"/>
      <c r="U290" s="69">
        <f>+U244+U220+U196+U173+U150+U127+U104+U81+U57+U34+U11+U267</f>
        <v>15869.059999999998</v>
      </c>
    </row>
    <row r="291" spans="1:24" ht="15.75" thickBot="1" x14ac:dyDescent="0.3">
      <c r="A291" s="64"/>
      <c r="B291" s="74">
        <v>1165716.6671600342</v>
      </c>
      <c r="C291" s="74">
        <v>1362683.5362670422</v>
      </c>
      <c r="D291" s="74">
        <v>117206.56862999965</v>
      </c>
      <c r="E291" s="74">
        <v>123923.58017499931</v>
      </c>
      <c r="F291" s="74">
        <v>27598.810000000056</v>
      </c>
      <c r="G291" s="76">
        <v>3003905.6822315832</v>
      </c>
      <c r="P291" s="74">
        <f>+P284-SUM(P285:P289)</f>
        <v>1165716.6671600342</v>
      </c>
      <c r="Q291" s="74">
        <f t="shared" ref="Q291:T291" si="27">+Q284-SUM(Q285:Q289)</f>
        <v>1362683.5362670422</v>
      </c>
      <c r="R291" s="74">
        <f t="shared" si="27"/>
        <v>117206.56862999965</v>
      </c>
      <c r="S291" s="74">
        <f t="shared" si="27"/>
        <v>123923.58017499931</v>
      </c>
      <c r="T291" s="74">
        <f t="shared" si="27"/>
        <v>27598.810000000056</v>
      </c>
      <c r="U291" s="76">
        <f>+U284-U285-U286-U287-U288-U290+U289</f>
        <v>3003905.6822315832</v>
      </c>
    </row>
    <row r="292" spans="1:24" ht="15.75" thickTop="1" x14ac:dyDescent="0.25">
      <c r="A292" s="64"/>
      <c r="B292" s="88"/>
      <c r="C292" s="88"/>
      <c r="D292" s="88"/>
      <c r="E292" s="88"/>
      <c r="F292" s="88"/>
      <c r="G292" s="78"/>
      <c r="P292" s="88"/>
      <c r="Q292" s="88"/>
      <c r="R292" s="88"/>
      <c r="S292" s="88"/>
      <c r="T292" s="88"/>
      <c r="U292" s="78"/>
    </row>
    <row r="293" spans="1:24" x14ac:dyDescent="0.25">
      <c r="A293" s="64" t="s">
        <v>225</v>
      </c>
      <c r="B293" s="8">
        <v>1374229.642614149</v>
      </c>
      <c r="C293" s="8">
        <v>1355854.7119999959</v>
      </c>
      <c r="D293" s="8">
        <v>87897.023499999952</v>
      </c>
      <c r="E293" s="8">
        <v>83049.838200000086</v>
      </c>
      <c r="F293" s="8">
        <v>26702.39</v>
      </c>
      <c r="G293" s="69">
        <v>2927733.6063141455</v>
      </c>
      <c r="P293" s="8">
        <f t="shared" ref="P293:T293" si="28">+P14+P37+P60+P84+P107+P130+P153+P176+P199+P223+P247+P270</f>
        <v>1374229.642614149</v>
      </c>
      <c r="Q293" s="8">
        <f t="shared" si="28"/>
        <v>1325952.9729999998</v>
      </c>
      <c r="R293" s="8">
        <f t="shared" si="28"/>
        <v>87897.023499999952</v>
      </c>
      <c r="S293" s="8">
        <f t="shared" si="28"/>
        <v>83049.838200000086</v>
      </c>
      <c r="T293" s="8">
        <f t="shared" si="28"/>
        <v>26702.39</v>
      </c>
      <c r="U293" s="69">
        <f>SUM(P293:T293)</f>
        <v>2897831.8673141492</v>
      </c>
    </row>
    <row r="294" spans="1:24" x14ac:dyDescent="0.25">
      <c r="A294" s="64" t="s">
        <v>226</v>
      </c>
      <c r="B294" s="8">
        <v>18247.57</v>
      </c>
      <c r="C294" s="8">
        <v>6082.2931969977171</v>
      </c>
      <c r="D294" s="8">
        <v>0</v>
      </c>
      <c r="E294" s="8">
        <v>0</v>
      </c>
      <c r="F294" s="8">
        <v>0</v>
      </c>
      <c r="G294" s="69">
        <v>24329.863196997718</v>
      </c>
      <c r="P294" s="8">
        <f t="shared" ref="P294:T294" si="29">+P15+P38+P61+P85+P108+P131+P154+P177+P200+P224+P248+P271</f>
        <v>18247.57</v>
      </c>
      <c r="Q294" s="8">
        <f t="shared" si="29"/>
        <v>6082.2931969977171</v>
      </c>
      <c r="R294" s="8">
        <f t="shared" si="29"/>
        <v>0</v>
      </c>
      <c r="S294" s="8">
        <f t="shared" si="29"/>
        <v>0</v>
      </c>
      <c r="T294" s="8">
        <f t="shared" si="29"/>
        <v>0</v>
      </c>
      <c r="U294" s="69">
        <f t="shared" ref="U294:U296" si="30">SUM(P294:T294)</f>
        <v>24329.863196997718</v>
      </c>
    </row>
    <row r="295" spans="1:24" x14ac:dyDescent="0.25">
      <c r="A295" s="64" t="s">
        <v>227</v>
      </c>
      <c r="B295" s="8">
        <v>108378.48999999999</v>
      </c>
      <c r="C295" s="8">
        <v>42954.59</v>
      </c>
      <c r="D295" s="8">
        <v>69211.049999999988</v>
      </c>
      <c r="E295" s="8">
        <v>0</v>
      </c>
      <c r="F295" s="8">
        <v>0</v>
      </c>
      <c r="G295" s="69">
        <v>220544.12999999998</v>
      </c>
      <c r="P295" s="8">
        <f t="shared" ref="P295:T295" si="31">+P16+P39+P62+P86+P109+P132+P155+P178+P201+P225+P249+P272</f>
        <v>108378.48999999999</v>
      </c>
      <c r="Q295" s="8">
        <f t="shared" si="31"/>
        <v>42954.59</v>
      </c>
      <c r="R295" s="8">
        <f t="shared" si="31"/>
        <v>69211.049999999988</v>
      </c>
      <c r="S295" s="8">
        <f t="shared" si="31"/>
        <v>0</v>
      </c>
      <c r="T295" s="8">
        <f t="shared" si="31"/>
        <v>0</v>
      </c>
      <c r="U295" s="69">
        <f t="shared" si="30"/>
        <v>220544.12999999998</v>
      </c>
    </row>
    <row r="296" spans="1:24" x14ac:dyDescent="0.25">
      <c r="A296" s="64" t="s">
        <v>228</v>
      </c>
      <c r="B296" s="8">
        <v>-23642.630000000005</v>
      </c>
      <c r="C296" s="8">
        <v>-206351.13</v>
      </c>
      <c r="D296" s="8">
        <v>0</v>
      </c>
      <c r="E296" s="8">
        <v>0</v>
      </c>
      <c r="F296" s="8">
        <v>0</v>
      </c>
      <c r="G296" s="69">
        <v>-229993.76</v>
      </c>
      <c r="P296" s="8">
        <f>+P17+P40+P63+P87+P110+P133+P156+P179+P203+P226+P250+P273</f>
        <v>-23642.630000000005</v>
      </c>
      <c r="Q296" s="8">
        <f>+Q17+Q40+Q63+Q87+Q110+Q133+Q156+Q179+Q203+Q226+Q250+Q273</f>
        <v>-206351.13</v>
      </c>
      <c r="R296" s="8">
        <f>+R17+R40+R63+R87+R110+R133+R156+R179+R203+R226+R250+R273</f>
        <v>0</v>
      </c>
      <c r="S296" s="8">
        <f>+S17+S40+S63+S87+S110+S133+S156+S179+S203+S226+S250+S273</f>
        <v>0</v>
      </c>
      <c r="T296" s="8">
        <f>+T17+T40+T63+T87+T110+T133+T156+T179+T203+T226+T250+T273</f>
        <v>0</v>
      </c>
      <c r="U296" s="69">
        <f t="shared" si="30"/>
        <v>-229993.76</v>
      </c>
    </row>
    <row r="297" spans="1:24" x14ac:dyDescent="0.25">
      <c r="A297" s="64" t="s">
        <v>229</v>
      </c>
      <c r="B297" s="8">
        <v>-39027.33</v>
      </c>
      <c r="C297" s="8">
        <v>48267</v>
      </c>
      <c r="D297" s="8">
        <v>0</v>
      </c>
      <c r="E297" s="8">
        <v>0</v>
      </c>
      <c r="F297" s="8">
        <v>0</v>
      </c>
      <c r="G297" s="69">
        <v>9239.6699999999983</v>
      </c>
      <c r="P297" s="8">
        <f>P18+P41+P64+P88+P111+P134+P157+P180+P202+P227+P251+P274</f>
        <v>-39027.33</v>
      </c>
      <c r="Q297" s="8">
        <f>Q18+Q41+Q64+Q88+Q111+Q134+Q157+Q180+Q202+Q227+Q251+Q274</f>
        <v>48267</v>
      </c>
      <c r="R297" s="8">
        <f>R18+R41+R64+R88+R111+R134+R157+R180+R202+R227+R251+R274</f>
        <v>0</v>
      </c>
      <c r="S297" s="8">
        <f>S18+S41+S64+S88+S111+S134+S157+S180+S202+S227+S251+S274</f>
        <v>0</v>
      </c>
      <c r="T297" s="8">
        <f>T18+T41+T64+T88+T111+T134+T157+T180+T202+T227+T251+T274</f>
        <v>0</v>
      </c>
      <c r="U297" s="69">
        <f>SUM(P297:T297)</f>
        <v>9239.6699999999983</v>
      </c>
    </row>
    <row r="298" spans="1:24" x14ac:dyDescent="0.25">
      <c r="A298" s="64" t="s">
        <v>230</v>
      </c>
      <c r="B298" s="8">
        <v>-129582</v>
      </c>
      <c r="C298" s="8">
        <v>0</v>
      </c>
      <c r="D298" s="8">
        <v>0</v>
      </c>
      <c r="E298" s="8">
        <v>0</v>
      </c>
      <c r="F298" s="8">
        <v>0</v>
      </c>
      <c r="G298" s="69">
        <v>-129582</v>
      </c>
      <c r="P298" s="8">
        <f>+P19+P42+P66+P90+P113+P136+P159+P182+P205+P229+P253+P276</f>
        <v>-129582</v>
      </c>
      <c r="Q298" s="8">
        <f>+Q19+Q42+Q66+Q90+Q113+Q136+Q159+Q182+Q205+Q229+Q253+Q276</f>
        <v>0</v>
      </c>
      <c r="R298" s="8">
        <f>+R19+R42+R66+R90+R113+R136+R159+R182+R205+R229+R253+R276</f>
        <v>0</v>
      </c>
      <c r="S298" s="8">
        <f>+S19+S42+S66+S90+S113+S136+S159+S182+S205+S229+S253+S276</f>
        <v>0</v>
      </c>
      <c r="T298" s="8">
        <f>+T19+T42+T66+T90+T113+T136+T159+T182+T205+T229+T253+T276</f>
        <v>0</v>
      </c>
      <c r="U298" s="69">
        <f t="shared" ref="U298:U300" si="32">SUM(P298:T298)</f>
        <v>-129582</v>
      </c>
    </row>
    <row r="299" spans="1:24" x14ac:dyDescent="0.25">
      <c r="A299" s="64" t="s">
        <v>37</v>
      </c>
      <c r="B299" s="8">
        <v>-72000</v>
      </c>
      <c r="C299" s="8">
        <v>-68000</v>
      </c>
      <c r="D299" s="8">
        <v>0</v>
      </c>
      <c r="E299" s="8">
        <v>0</v>
      </c>
      <c r="F299" s="8">
        <v>0</v>
      </c>
      <c r="G299" s="69">
        <v>-140000</v>
      </c>
      <c r="P299" s="8">
        <f>+P20+P43+P65+P89+P112+P135+P158+P181+P204+P228+P252+P275</f>
        <v>-72000</v>
      </c>
      <c r="Q299" s="8">
        <f>+Q20+Q43+Q65+Q89+Q112+Q135+Q158+Q181+Q204+Q228+Q252+Q275</f>
        <v>-68000</v>
      </c>
      <c r="R299" s="8">
        <f>+R20+R43+R65+R89+R112+R135+R158+R181+R204+R228+R252+R275</f>
        <v>0</v>
      </c>
      <c r="S299" s="8">
        <f>+S20+S43+S65+S89+S112+S135+S158+S181+S204+S228+S252+S275</f>
        <v>0</v>
      </c>
      <c r="T299" s="8">
        <f>+T20+T43+T65+T89+T112+T135+T158+T181+T204+T228+T252+T275</f>
        <v>0</v>
      </c>
      <c r="U299" s="69">
        <f t="shared" si="32"/>
        <v>-140000</v>
      </c>
    </row>
    <row r="300" spans="1:24" x14ac:dyDescent="0.25">
      <c r="A300" s="64" t="s">
        <v>235</v>
      </c>
      <c r="B300" s="113">
        <v>-4500</v>
      </c>
      <c r="C300" s="103"/>
      <c r="D300" s="103"/>
      <c r="E300" s="103"/>
      <c r="F300" s="103"/>
      <c r="G300" s="69">
        <v>-4500</v>
      </c>
      <c r="P300" s="113">
        <f>P91</f>
        <v>-4500</v>
      </c>
      <c r="Q300" s="103"/>
      <c r="R300" s="103"/>
      <c r="S300" s="103"/>
      <c r="T300" s="103"/>
      <c r="U300" s="69">
        <f t="shared" si="32"/>
        <v>-4500</v>
      </c>
      <c r="V300" s="58">
        <f>SUM(P301:T301)-U290</f>
        <v>356035.91172072239</v>
      </c>
      <c r="W300" s="114">
        <f>U301-V300</f>
        <v>-2.8603244572877884E-7</v>
      </c>
      <c r="X300" s="58" t="s">
        <v>231</v>
      </c>
    </row>
    <row r="301" spans="1:24" x14ac:dyDescent="0.25">
      <c r="A301" s="64" t="s">
        <v>223</v>
      </c>
      <c r="B301" s="8">
        <v>156258.50454584713</v>
      </c>
      <c r="C301" s="8">
        <v>183876.07106987847</v>
      </c>
      <c r="D301" s="8">
        <v>-39901.50486999908</v>
      </c>
      <c r="E301" s="8">
        <v>40873.741974999684</v>
      </c>
      <c r="F301" s="8">
        <v>896.41999999996915</v>
      </c>
      <c r="G301" s="69">
        <v>326134.17272044002</v>
      </c>
      <c r="P301" s="8">
        <f>+P22+P45+P68+P92+P115+P138+P161+P184+P207+P232+P255+P278</f>
        <v>156258.50454584713</v>
      </c>
      <c r="Q301" s="8">
        <f>+Q22+Q45+Q68+Q92+Q115+Q138+Q161+Q184+Q207+Q232+Q255+Q278</f>
        <v>213777.81006987469</v>
      </c>
      <c r="R301" s="8">
        <f>+R22+R45+R68+R92+R115+R138+R161+R184+R207+R232+R255+R278</f>
        <v>-39901.50486999908</v>
      </c>
      <c r="S301" s="8">
        <f>+S22+S45+S68+S92+S115+S138+S161+S184+S207+S232+S255+S278</f>
        <v>40873.741974999684</v>
      </c>
      <c r="T301" s="8">
        <f>+T22+T45+T68+T92+T115+T138+T161+T184+T207+T232+T255+T278</f>
        <v>896.41999999996915</v>
      </c>
      <c r="U301" s="69">
        <f>+U291-U293-U294-U295-U296-U297-U298-U299-U300</f>
        <v>356035.91172043636</v>
      </c>
      <c r="V301" s="58">
        <f>'[4]P&amp;L Compare to Hedge 2018'!$N$45</f>
        <v>326134.17368568387</v>
      </c>
      <c r="W301" s="114">
        <f>U301-V301</f>
        <v>29901.738034752489</v>
      </c>
      <c r="X301" s="115" t="s">
        <v>233</v>
      </c>
    </row>
    <row r="302" spans="1:24" ht="15.75" thickBot="1" x14ac:dyDescent="0.3">
      <c r="A302" s="82"/>
      <c r="B302" s="116"/>
      <c r="C302" s="116"/>
      <c r="D302" s="116"/>
      <c r="E302" s="116"/>
      <c r="F302" s="116"/>
      <c r="G302" s="69"/>
      <c r="P302" s="116"/>
      <c r="Q302" s="116"/>
      <c r="R302" s="116"/>
      <c r="S302" s="116"/>
      <c r="T302" s="116"/>
      <c r="U302" s="69"/>
    </row>
    <row r="303" spans="1:24" x14ac:dyDescent="0.25">
      <c r="G303" s="117"/>
      <c r="U303" s="117"/>
    </row>
  </sheetData>
  <pageMargins left="0.7" right="0.7" top="0.5" bottom="0.5" header="0.3" footer="0.3"/>
  <pageSetup scale="66" fitToHeight="0" orientation="portrait" r:id="rId1"/>
  <rowBreaks count="4" manualBreakCount="4">
    <brk id="46" max="16383" man="1"/>
    <brk id="93" max="16383" man="1"/>
    <brk id="139" max="16383" man="1"/>
    <brk id="27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FE10-3A3E-4E73-8B67-891144E6D411}">
  <dimension ref="A1:G68"/>
  <sheetViews>
    <sheetView zoomScaleNormal="100" workbookViewId="0">
      <pane ySplit="6" topLeftCell="A37" activePane="bottomLeft" state="frozen"/>
      <selection pane="bottomLeft" activeCell="A39" sqref="A39"/>
    </sheetView>
  </sheetViews>
  <sheetFormatPr defaultRowHeight="15" x14ac:dyDescent="0.25"/>
  <cols>
    <col min="1" max="1" width="44.42578125" bestFit="1" customWidth="1"/>
    <col min="2" max="3" width="13" style="93" bestFit="1" customWidth="1"/>
    <col min="4" max="4" width="13.42578125" style="93" bestFit="1" customWidth="1"/>
    <col min="5" max="5" width="13" style="93" bestFit="1" customWidth="1"/>
    <col min="6" max="6" width="13.42578125" style="93" bestFit="1" customWidth="1"/>
    <col min="7" max="7" width="8.85546875" style="93"/>
  </cols>
  <sheetData>
    <row r="1" spans="1:6" x14ac:dyDescent="0.25">
      <c r="A1" s="159" t="s">
        <v>311</v>
      </c>
      <c r="B1" s="159"/>
      <c r="C1" s="159"/>
      <c r="D1" s="159"/>
      <c r="E1" s="159"/>
      <c r="F1" s="159"/>
    </row>
    <row r="2" spans="1:6" x14ac:dyDescent="0.25">
      <c r="A2" s="159" t="s">
        <v>312</v>
      </c>
      <c r="B2" s="159"/>
      <c r="C2" s="159"/>
      <c r="D2" s="159"/>
      <c r="E2" s="159"/>
      <c r="F2" s="159"/>
    </row>
    <row r="3" spans="1:6" x14ac:dyDescent="0.25">
      <c r="A3" s="159">
        <v>2018</v>
      </c>
      <c r="B3" s="159"/>
      <c r="C3" s="159"/>
      <c r="D3" s="159"/>
      <c r="E3" s="159"/>
      <c r="F3" s="159"/>
    </row>
    <row r="4" spans="1:6" x14ac:dyDescent="0.25">
      <c r="A4" s="124"/>
      <c r="B4" s="124"/>
      <c r="C4" s="124"/>
      <c r="D4" s="124"/>
      <c r="E4" s="124"/>
      <c r="F4" s="124"/>
    </row>
    <row r="5" spans="1:6" x14ac:dyDescent="0.25">
      <c r="A5" s="124"/>
      <c r="B5" s="124"/>
      <c r="C5" s="124"/>
      <c r="D5" s="124"/>
      <c r="E5" s="124"/>
      <c r="F5" s="124"/>
    </row>
    <row r="6" spans="1:6" x14ac:dyDescent="0.25">
      <c r="B6" s="133" t="s">
        <v>340</v>
      </c>
      <c r="C6" s="133" t="s">
        <v>341</v>
      </c>
      <c r="D6" s="133" t="s">
        <v>342</v>
      </c>
      <c r="E6" s="133" t="s">
        <v>343</v>
      </c>
      <c r="F6" s="133" t="s">
        <v>218</v>
      </c>
    </row>
    <row r="7" spans="1:6" x14ac:dyDescent="0.25">
      <c r="A7" s="68" t="s">
        <v>63</v>
      </c>
    </row>
    <row r="8" spans="1:6" x14ac:dyDescent="0.25">
      <c r="A8" t="s">
        <v>313</v>
      </c>
      <c r="B8" s="93">
        <v>1007.48</v>
      </c>
      <c r="C8" s="93">
        <v>2880.98</v>
      </c>
      <c r="D8" s="93">
        <v>11848.57</v>
      </c>
      <c r="E8" s="93">
        <v>8277.67</v>
      </c>
      <c r="F8" s="93">
        <f>SUM(B8:E8)</f>
        <v>24014.699999999997</v>
      </c>
    </row>
    <row r="9" spans="1:6" x14ac:dyDescent="0.25">
      <c r="A9" t="s">
        <v>314</v>
      </c>
      <c r="B9" s="93">
        <v>1315</v>
      </c>
      <c r="C9" s="93">
        <v>690</v>
      </c>
      <c r="D9" s="93">
        <v>380</v>
      </c>
      <c r="E9" s="93">
        <v>0</v>
      </c>
      <c r="F9" s="93">
        <f t="shared" ref="F9:F14" si="0">SUM(B9:E9)</f>
        <v>2385</v>
      </c>
    </row>
    <row r="10" spans="1:6" x14ac:dyDescent="0.25">
      <c r="A10" t="s">
        <v>374</v>
      </c>
      <c r="B10" s="93">
        <v>150</v>
      </c>
      <c r="C10" s="93">
        <v>100</v>
      </c>
      <c r="D10" s="93">
        <v>150</v>
      </c>
      <c r="E10" s="93">
        <v>0</v>
      </c>
      <c r="F10" s="93">
        <f t="shared" si="0"/>
        <v>400</v>
      </c>
    </row>
    <row r="11" spans="1:6" x14ac:dyDescent="0.25">
      <c r="A11" t="s">
        <v>315</v>
      </c>
      <c r="B11" s="93">
        <v>39424.43</v>
      </c>
      <c r="C11" s="93">
        <v>30082.99</v>
      </c>
      <c r="D11" s="93">
        <v>37907.64</v>
      </c>
      <c r="E11" s="93">
        <v>44830.54</v>
      </c>
      <c r="F11" s="93">
        <f t="shared" si="0"/>
        <v>152245.6</v>
      </c>
    </row>
    <row r="12" spans="1:6" x14ac:dyDescent="0.25">
      <c r="A12" t="s">
        <v>316</v>
      </c>
      <c r="B12" s="93">
        <v>74672.5</v>
      </c>
      <c r="C12" s="93">
        <v>77307.5</v>
      </c>
      <c r="D12" s="93">
        <v>85637.5</v>
      </c>
      <c r="E12" s="93">
        <v>107355</v>
      </c>
      <c r="F12" s="93">
        <f t="shared" si="0"/>
        <v>344972.5</v>
      </c>
    </row>
    <row r="13" spans="1:6" x14ac:dyDescent="0.25">
      <c r="A13" t="s">
        <v>344</v>
      </c>
      <c r="B13" s="93">
        <v>29225</v>
      </c>
      <c r="C13" s="93">
        <v>0</v>
      </c>
      <c r="D13" s="93">
        <v>67262</v>
      </c>
      <c r="E13" s="93">
        <v>0</v>
      </c>
      <c r="F13" s="93">
        <f t="shared" si="0"/>
        <v>96487</v>
      </c>
    </row>
    <row r="14" spans="1:6" x14ac:dyDescent="0.25">
      <c r="A14" t="s">
        <v>317</v>
      </c>
      <c r="B14" s="93">
        <v>3474</v>
      </c>
      <c r="C14" s="93">
        <v>3440.25</v>
      </c>
      <c r="D14" s="93">
        <v>3440.25</v>
      </c>
      <c r="E14" s="93">
        <v>5316.75</v>
      </c>
      <c r="F14" s="93">
        <f t="shared" si="0"/>
        <v>15671.25</v>
      </c>
    </row>
    <row r="15" spans="1:6" x14ac:dyDescent="0.25">
      <c r="A15" s="68" t="s">
        <v>256</v>
      </c>
      <c r="B15" s="130">
        <f>SUM(B8:B14)</f>
        <v>149268.41</v>
      </c>
      <c r="C15" s="130">
        <f>SUM(C8:C14)</f>
        <v>114501.72</v>
      </c>
      <c r="D15" s="130">
        <f>SUM(D8:D14)</f>
        <v>206625.96</v>
      </c>
      <c r="E15" s="130">
        <f>SUM(E8:E14)</f>
        <v>165779.96</v>
      </c>
      <c r="F15" s="130">
        <f>SUM(F8:F14)</f>
        <v>636176.05000000005</v>
      </c>
    </row>
    <row r="17" spans="1:6" x14ac:dyDescent="0.25">
      <c r="A17" s="68" t="s">
        <v>318</v>
      </c>
      <c r="F17" s="93">
        <f t="shared" ref="F17:F64" si="1">SUM(B17:E17)</f>
        <v>0</v>
      </c>
    </row>
    <row r="18" spans="1:6" x14ac:dyDescent="0.25">
      <c r="A18" t="s">
        <v>320</v>
      </c>
      <c r="B18" s="93">
        <v>1052.68</v>
      </c>
      <c r="C18" s="93">
        <v>7138.13</v>
      </c>
      <c r="D18" s="93">
        <v>9184.15</v>
      </c>
      <c r="E18" s="93">
        <v>19400.439999999999</v>
      </c>
      <c r="F18" s="93">
        <f t="shared" si="1"/>
        <v>36775.399999999994</v>
      </c>
    </row>
    <row r="19" spans="1:6" x14ac:dyDescent="0.25">
      <c r="A19" t="s">
        <v>319</v>
      </c>
      <c r="B19" s="93">
        <v>45325</v>
      </c>
      <c r="C19" s="93">
        <v>0</v>
      </c>
      <c r="D19" s="93">
        <v>11772.5</v>
      </c>
      <c r="E19" s="93">
        <v>11772.5</v>
      </c>
      <c r="F19" s="93">
        <f t="shared" si="1"/>
        <v>68870</v>
      </c>
    </row>
    <row r="20" spans="1:6" x14ac:dyDescent="0.25">
      <c r="A20" s="68" t="s">
        <v>321</v>
      </c>
      <c r="B20" s="130">
        <f>SUM(B18:B19)</f>
        <v>46377.68</v>
      </c>
      <c r="C20" s="130">
        <f t="shared" ref="C20:F20" si="2">SUM(C18:C19)</f>
        <v>7138.13</v>
      </c>
      <c r="D20" s="130">
        <f t="shared" si="2"/>
        <v>20956.650000000001</v>
      </c>
      <c r="E20" s="130">
        <f t="shared" si="2"/>
        <v>31172.94</v>
      </c>
      <c r="F20" s="130">
        <f t="shared" si="2"/>
        <v>105645.4</v>
      </c>
    </row>
    <row r="22" spans="1:6" ht="15.75" thickBot="1" x14ac:dyDescent="0.3">
      <c r="A22" s="68" t="s">
        <v>243</v>
      </c>
      <c r="B22" s="131">
        <f>B15-B20</f>
        <v>102890.73000000001</v>
      </c>
      <c r="C22" s="131">
        <f t="shared" ref="C22:F22" si="3">C15-C20</f>
        <v>107363.59</v>
      </c>
      <c r="D22" s="131">
        <f t="shared" si="3"/>
        <v>185669.31</v>
      </c>
      <c r="E22" s="131">
        <f t="shared" si="3"/>
        <v>134607.01999999999</v>
      </c>
      <c r="F22" s="131">
        <f t="shared" si="3"/>
        <v>530530.65</v>
      </c>
    </row>
    <row r="24" spans="1:6" x14ac:dyDescent="0.25">
      <c r="A24" s="68" t="s">
        <v>241</v>
      </c>
    </row>
    <row r="25" spans="1:6" x14ac:dyDescent="0.25">
      <c r="A25" t="s">
        <v>258</v>
      </c>
      <c r="F25" s="93">
        <f t="shared" si="1"/>
        <v>0</v>
      </c>
    </row>
    <row r="26" spans="1:6" x14ac:dyDescent="0.25">
      <c r="A26" t="s">
        <v>322</v>
      </c>
      <c r="B26" s="93">
        <v>8738.67</v>
      </c>
      <c r="C26" s="93">
        <v>7542.86</v>
      </c>
      <c r="D26" s="93">
        <v>8498.8799999999992</v>
      </c>
      <c r="E26" s="93">
        <v>8584.34</v>
      </c>
      <c r="F26" s="93">
        <f t="shared" si="1"/>
        <v>33364.75</v>
      </c>
    </row>
    <row r="27" spans="1:6" x14ac:dyDescent="0.25">
      <c r="A27" t="s">
        <v>323</v>
      </c>
      <c r="B27" s="93">
        <v>1485.28</v>
      </c>
      <c r="C27" s="93">
        <v>1185.3900000000001</v>
      </c>
      <c r="D27" s="93">
        <v>1307.2</v>
      </c>
      <c r="E27" s="93">
        <v>729.18</v>
      </c>
      <c r="F27" s="93">
        <f t="shared" si="1"/>
        <v>4707.05</v>
      </c>
    </row>
    <row r="28" spans="1:6" x14ac:dyDescent="0.25">
      <c r="A28" t="s">
        <v>324</v>
      </c>
      <c r="B28" s="93">
        <v>3064.68</v>
      </c>
      <c r="C28" s="93">
        <v>3064.68</v>
      </c>
      <c r="D28" s="93">
        <v>3580.55</v>
      </c>
      <c r="E28" s="93">
        <v>3064.68</v>
      </c>
      <c r="F28" s="93">
        <f t="shared" si="1"/>
        <v>12774.59</v>
      </c>
    </row>
    <row r="29" spans="1:6" x14ac:dyDescent="0.25">
      <c r="A29" t="s">
        <v>325</v>
      </c>
      <c r="B29" s="93">
        <v>216.98</v>
      </c>
      <c r="C29" s="93">
        <v>216.98</v>
      </c>
      <c r="D29" s="93">
        <v>216.98</v>
      </c>
      <c r="E29" s="93">
        <v>216.98</v>
      </c>
      <c r="F29" s="93">
        <f t="shared" si="1"/>
        <v>867.92</v>
      </c>
    </row>
    <row r="30" spans="1:6" x14ac:dyDescent="0.25">
      <c r="A30" t="s">
        <v>373</v>
      </c>
      <c r="B30" s="93">
        <v>400</v>
      </c>
      <c r="C30" s="93">
        <v>400</v>
      </c>
      <c r="D30" s="93">
        <v>400</v>
      </c>
      <c r="E30" s="93">
        <v>400</v>
      </c>
      <c r="F30" s="93">
        <f t="shared" si="1"/>
        <v>1600</v>
      </c>
    </row>
    <row r="31" spans="1:6" x14ac:dyDescent="0.25">
      <c r="A31" t="s">
        <v>326</v>
      </c>
      <c r="B31" s="93">
        <v>64.989999999999995</v>
      </c>
      <c r="C31" s="93">
        <v>64.989999999999995</v>
      </c>
      <c r="D31" s="93">
        <v>64.989999999999995</v>
      </c>
      <c r="E31" s="93">
        <v>419.95</v>
      </c>
      <c r="F31" s="93">
        <f t="shared" si="1"/>
        <v>614.91999999999996</v>
      </c>
    </row>
    <row r="32" spans="1:6" x14ac:dyDescent="0.25">
      <c r="A32" s="68" t="s">
        <v>266</v>
      </c>
      <c r="B32" s="130">
        <f>SUM(B26:B31)</f>
        <v>13970.6</v>
      </c>
      <c r="C32" s="130">
        <f t="shared" ref="C32:F32" si="4">SUM(C26:C31)</f>
        <v>12474.9</v>
      </c>
      <c r="D32" s="130">
        <f t="shared" si="4"/>
        <v>14068.6</v>
      </c>
      <c r="E32" s="130">
        <f t="shared" si="4"/>
        <v>13415.130000000001</v>
      </c>
      <c r="F32" s="130">
        <f t="shared" si="4"/>
        <v>53929.229999999996</v>
      </c>
    </row>
    <row r="33" spans="1:6" x14ac:dyDescent="0.25">
      <c r="A33" t="s">
        <v>62</v>
      </c>
    </row>
    <row r="34" spans="1:6" x14ac:dyDescent="0.25">
      <c r="A34" s="68" t="s">
        <v>327</v>
      </c>
    </row>
    <row r="35" spans="1:6" x14ac:dyDescent="0.25">
      <c r="A35" t="s">
        <v>268</v>
      </c>
      <c r="B35" s="93">
        <f>25000+12500</f>
        <v>37500</v>
      </c>
      <c r="C35" s="93">
        <f>25000+12500</f>
        <v>37500</v>
      </c>
      <c r="D35" s="93">
        <f>25000+12500</f>
        <v>37500</v>
      </c>
      <c r="E35" s="93">
        <f>25000+12500</f>
        <v>37500</v>
      </c>
      <c r="F35" s="93">
        <f t="shared" si="1"/>
        <v>150000</v>
      </c>
    </row>
    <row r="36" spans="1:6" x14ac:dyDescent="0.25">
      <c r="A36" t="s">
        <v>328</v>
      </c>
      <c r="B36" s="93">
        <v>8518.2800000000007</v>
      </c>
      <c r="C36" s="93">
        <v>5856.39</v>
      </c>
      <c r="D36" s="93">
        <v>8346.2199999999993</v>
      </c>
      <c r="E36" s="93">
        <v>4857.8599999999997</v>
      </c>
      <c r="F36" s="93">
        <f t="shared" si="1"/>
        <v>27578.75</v>
      </c>
    </row>
    <row r="37" spans="1:6" x14ac:dyDescent="0.25">
      <c r="A37" t="s">
        <v>329</v>
      </c>
      <c r="B37" s="93">
        <v>150</v>
      </c>
      <c r="C37" s="93">
        <v>150</v>
      </c>
      <c r="D37" s="93">
        <v>150</v>
      </c>
      <c r="E37" s="93">
        <v>150</v>
      </c>
      <c r="F37" s="93">
        <f t="shared" si="1"/>
        <v>600</v>
      </c>
    </row>
    <row r="38" spans="1:6" x14ac:dyDescent="0.25">
      <c r="A38" t="s">
        <v>271</v>
      </c>
      <c r="B38" s="93">
        <v>3575</v>
      </c>
      <c r="C38" s="93">
        <v>0</v>
      </c>
      <c r="D38" s="93">
        <v>1210</v>
      </c>
      <c r="E38" s="93">
        <v>1875</v>
      </c>
      <c r="F38" s="93">
        <f t="shared" si="1"/>
        <v>6660</v>
      </c>
    </row>
    <row r="39" spans="1:6" x14ac:dyDescent="0.25">
      <c r="A39" t="s">
        <v>330</v>
      </c>
      <c r="B39" s="93">
        <v>959.14</v>
      </c>
      <c r="C39" s="93">
        <v>519.59</v>
      </c>
      <c r="D39" s="93">
        <v>1411.26</v>
      </c>
      <c r="E39" s="93">
        <v>2829.73</v>
      </c>
      <c r="F39" s="93">
        <f t="shared" si="1"/>
        <v>5719.7199999999993</v>
      </c>
    </row>
    <row r="40" spans="1:6" x14ac:dyDescent="0.25">
      <c r="A40" t="s">
        <v>274</v>
      </c>
      <c r="B40" s="93">
        <v>5394.18</v>
      </c>
      <c r="C40" s="93">
        <v>5394.18</v>
      </c>
      <c r="D40" s="93">
        <v>5394.18</v>
      </c>
      <c r="E40" s="93">
        <v>5394.18</v>
      </c>
      <c r="F40" s="93">
        <f t="shared" si="1"/>
        <v>21576.720000000001</v>
      </c>
    </row>
    <row r="41" spans="1:6" x14ac:dyDescent="0.25">
      <c r="A41" t="s">
        <v>275</v>
      </c>
      <c r="B41" s="93">
        <v>1568.56</v>
      </c>
      <c r="C41" s="93">
        <v>2423.8000000000002</v>
      </c>
      <c r="D41" s="93">
        <v>2122.8000000000002</v>
      </c>
      <c r="E41" s="93">
        <v>2200</v>
      </c>
      <c r="F41" s="93">
        <f t="shared" si="1"/>
        <v>8315.16</v>
      </c>
    </row>
    <row r="42" spans="1:6" x14ac:dyDescent="0.25">
      <c r="A42" t="s">
        <v>273</v>
      </c>
      <c r="B42" s="93">
        <v>18020.830000000002</v>
      </c>
      <c r="C42" s="93">
        <v>18020.84</v>
      </c>
      <c r="D42" s="93">
        <v>18020.84</v>
      </c>
      <c r="E42" s="93">
        <v>18020.82</v>
      </c>
      <c r="F42" s="93">
        <f t="shared" si="1"/>
        <v>72083.329999999987</v>
      </c>
    </row>
    <row r="43" spans="1:6" x14ac:dyDescent="0.25">
      <c r="A43" t="s">
        <v>276</v>
      </c>
      <c r="B43" s="93">
        <v>5.49</v>
      </c>
      <c r="C43" s="93">
        <v>0</v>
      </c>
      <c r="D43" s="93">
        <v>100.81</v>
      </c>
      <c r="E43" s="93">
        <v>0</v>
      </c>
      <c r="F43" s="93">
        <f t="shared" si="1"/>
        <v>106.3</v>
      </c>
    </row>
    <row r="44" spans="1:6" x14ac:dyDescent="0.25">
      <c r="A44" t="s">
        <v>283</v>
      </c>
      <c r="B44" s="93">
        <v>7320.8</v>
      </c>
      <c r="C44" s="93">
        <v>7321.95</v>
      </c>
      <c r="D44" s="93">
        <v>6956.8</v>
      </c>
      <c r="E44" s="93">
        <v>7690.32</v>
      </c>
      <c r="F44" s="93">
        <f t="shared" si="1"/>
        <v>29289.87</v>
      </c>
    </row>
    <row r="45" spans="1:6" x14ac:dyDescent="0.25">
      <c r="A45" t="s">
        <v>277</v>
      </c>
      <c r="B45" s="93">
        <v>649.54999999999995</v>
      </c>
      <c r="C45" s="93">
        <v>160.78</v>
      </c>
      <c r="D45" s="93">
        <v>278.7</v>
      </c>
      <c r="E45" s="93">
        <v>536.80999999999995</v>
      </c>
      <c r="F45" s="93">
        <f t="shared" si="1"/>
        <v>1625.84</v>
      </c>
    </row>
    <row r="46" spans="1:6" x14ac:dyDescent="0.25">
      <c r="A46" t="s">
        <v>331</v>
      </c>
      <c r="B46" s="93">
        <v>9962.11</v>
      </c>
      <c r="C46" s="93">
        <v>10391.68</v>
      </c>
      <c r="D46" s="93">
        <v>10391.68</v>
      </c>
      <c r="E46" s="93">
        <v>10391.68</v>
      </c>
      <c r="F46" s="93">
        <f t="shared" si="1"/>
        <v>41137.15</v>
      </c>
    </row>
    <row r="47" spans="1:6" x14ac:dyDescent="0.25">
      <c r="A47" t="s">
        <v>334</v>
      </c>
      <c r="B47" s="93">
        <v>1351.56</v>
      </c>
      <c r="C47" s="93">
        <v>1938.84</v>
      </c>
      <c r="D47" s="93">
        <v>1938.84</v>
      </c>
      <c r="E47" s="93">
        <v>1937.28</v>
      </c>
      <c r="F47" s="93">
        <f t="shared" si="1"/>
        <v>7166.5199999999995</v>
      </c>
    </row>
    <row r="48" spans="1:6" x14ac:dyDescent="0.25">
      <c r="A48" t="s">
        <v>298</v>
      </c>
      <c r="B48" s="93">
        <v>1018.09</v>
      </c>
      <c r="C48" s="93">
        <v>1018.09</v>
      </c>
      <c r="D48" s="93">
        <v>1018.09</v>
      </c>
      <c r="E48" s="93">
        <v>1049.5999999999999</v>
      </c>
      <c r="F48" s="93">
        <f t="shared" si="1"/>
        <v>4103.87</v>
      </c>
    </row>
    <row r="49" spans="1:6" x14ac:dyDescent="0.25">
      <c r="A49" s="68" t="s">
        <v>375</v>
      </c>
      <c r="B49" s="130">
        <f>SUM(B35:B48)</f>
        <v>95993.59</v>
      </c>
      <c r="C49" s="130">
        <f>SUM(C35:C48)</f>
        <v>90696.139999999985</v>
      </c>
      <c r="D49" s="130">
        <f>SUM(D35:D48)</f>
        <v>94840.22</v>
      </c>
      <c r="E49" s="130">
        <f>SUM(E35:E48)</f>
        <v>94433.279999999999</v>
      </c>
      <c r="F49" s="130">
        <f>SUM(F35:F48)</f>
        <v>375963.23000000004</v>
      </c>
    </row>
    <row r="51" spans="1:6" x14ac:dyDescent="0.25">
      <c r="A51" s="68" t="s">
        <v>332</v>
      </c>
    </row>
    <row r="52" spans="1:6" x14ac:dyDescent="0.25">
      <c r="A52" t="s">
        <v>286</v>
      </c>
      <c r="B52" s="93">
        <v>231.6</v>
      </c>
      <c r="C52" s="93">
        <v>181.9</v>
      </c>
      <c r="D52" s="93">
        <v>151.94999999999999</v>
      </c>
      <c r="E52" s="93">
        <v>135.54</v>
      </c>
      <c r="F52" s="93">
        <f t="shared" si="1"/>
        <v>700.99</v>
      </c>
    </row>
    <row r="53" spans="1:6" x14ac:dyDescent="0.25">
      <c r="A53" t="s">
        <v>287</v>
      </c>
      <c r="B53" s="93">
        <v>763.06</v>
      </c>
      <c r="C53" s="93">
        <v>700.02</v>
      </c>
      <c r="D53" s="93">
        <v>701.8</v>
      </c>
      <c r="E53" s="93">
        <v>709.3</v>
      </c>
      <c r="F53" s="93">
        <f t="shared" si="1"/>
        <v>2874.1800000000003</v>
      </c>
    </row>
    <row r="54" spans="1:6" x14ac:dyDescent="0.25">
      <c r="A54" t="s">
        <v>333</v>
      </c>
      <c r="B54" s="93">
        <v>0</v>
      </c>
      <c r="C54" s="93">
        <v>0</v>
      </c>
      <c r="D54" s="93">
        <v>0</v>
      </c>
      <c r="E54" s="93">
        <v>300</v>
      </c>
      <c r="F54" s="93">
        <f t="shared" si="1"/>
        <v>300</v>
      </c>
    </row>
    <row r="55" spans="1:6" x14ac:dyDescent="0.25">
      <c r="A55" t="s">
        <v>345</v>
      </c>
      <c r="B55" s="93">
        <v>0</v>
      </c>
      <c r="C55" s="93">
        <v>1250</v>
      </c>
      <c r="D55" s="93">
        <v>0</v>
      </c>
      <c r="E55" s="93">
        <v>0</v>
      </c>
      <c r="F55" s="93">
        <f t="shared" si="1"/>
        <v>1250</v>
      </c>
    </row>
    <row r="56" spans="1:6" x14ac:dyDescent="0.25">
      <c r="A56" t="s">
        <v>289</v>
      </c>
      <c r="B56" s="93">
        <v>8150.67</v>
      </c>
      <c r="C56" s="93">
        <v>8041.67</v>
      </c>
      <c r="D56" s="93">
        <v>8081.67</v>
      </c>
      <c r="E56" s="93">
        <v>8041.67</v>
      </c>
      <c r="F56" s="93">
        <f t="shared" si="1"/>
        <v>32315.68</v>
      </c>
    </row>
    <row r="57" spans="1:6" x14ac:dyDescent="0.25">
      <c r="A57" t="s">
        <v>292</v>
      </c>
      <c r="B57" s="93">
        <v>225</v>
      </c>
      <c r="C57" s="93">
        <v>352.5</v>
      </c>
      <c r="D57" s="93">
        <v>0</v>
      </c>
      <c r="E57" s="93">
        <v>0</v>
      </c>
      <c r="F57" s="93">
        <f t="shared" si="1"/>
        <v>577.5</v>
      </c>
    </row>
    <row r="58" spans="1:6" x14ac:dyDescent="0.25">
      <c r="A58" s="68" t="s">
        <v>335</v>
      </c>
      <c r="B58" s="130">
        <f>SUM(B52:B57)</f>
        <v>9370.33</v>
      </c>
      <c r="C58" s="130">
        <f t="shared" ref="C58:F58" si="5">SUM(C52:C57)</f>
        <v>10526.09</v>
      </c>
      <c r="D58" s="130">
        <f t="shared" si="5"/>
        <v>8935.42</v>
      </c>
      <c r="E58" s="130">
        <f t="shared" si="5"/>
        <v>9186.51</v>
      </c>
      <c r="F58" s="130">
        <f t="shared" si="5"/>
        <v>38018.35</v>
      </c>
    </row>
    <row r="59" spans="1:6" x14ac:dyDescent="0.25">
      <c r="A59" t="s">
        <v>280</v>
      </c>
    </row>
    <row r="60" spans="1:6" ht="15.75" thickBot="1" x14ac:dyDescent="0.3">
      <c r="A60" s="68" t="s">
        <v>242</v>
      </c>
      <c r="B60" s="131">
        <f>B32+B49+B58</f>
        <v>119334.52</v>
      </c>
      <c r="C60" s="131">
        <f>C32+C49+C58</f>
        <v>113697.12999999998</v>
      </c>
      <c r="D60" s="131">
        <f>D32+D49+D58</f>
        <v>117844.24</v>
      </c>
      <c r="E60" s="131">
        <f>E32+E49+E58</f>
        <v>117034.92</v>
      </c>
      <c r="F60" s="131">
        <f>F32+F49+F58</f>
        <v>467910.81</v>
      </c>
    </row>
    <row r="62" spans="1:6" x14ac:dyDescent="0.25">
      <c r="A62" s="68" t="s">
        <v>336</v>
      </c>
    </row>
    <row r="63" spans="1:6" x14ac:dyDescent="0.25">
      <c r="A63" t="s">
        <v>337</v>
      </c>
      <c r="B63" s="93">
        <v>12500</v>
      </c>
      <c r="C63" s="93">
        <v>12500</v>
      </c>
      <c r="D63" s="93">
        <v>12500</v>
      </c>
      <c r="E63" s="93">
        <v>12500</v>
      </c>
      <c r="F63" s="93">
        <f t="shared" si="1"/>
        <v>50000</v>
      </c>
    </row>
    <row r="64" spans="1:6" x14ac:dyDescent="0.25">
      <c r="A64" t="s">
        <v>306</v>
      </c>
      <c r="B64" s="93">
        <v>2109.7199999999998</v>
      </c>
      <c r="C64" s="93">
        <v>2488.89</v>
      </c>
      <c r="D64" s="93">
        <v>2770.21</v>
      </c>
      <c r="E64" s="93">
        <v>2666.67</v>
      </c>
      <c r="F64" s="93">
        <f t="shared" si="1"/>
        <v>10035.49</v>
      </c>
    </row>
    <row r="65" spans="1:7" x14ac:dyDescent="0.25">
      <c r="A65" s="68" t="s">
        <v>338</v>
      </c>
      <c r="B65" s="130">
        <f>SUM(B63:B64)</f>
        <v>14609.72</v>
      </c>
      <c r="C65" s="130">
        <f t="shared" ref="C65:F65" si="6">SUM(C63:C64)</f>
        <v>14988.89</v>
      </c>
      <c r="D65" s="130">
        <f t="shared" si="6"/>
        <v>15270.21</v>
      </c>
      <c r="E65" s="130">
        <f t="shared" si="6"/>
        <v>15166.67</v>
      </c>
      <c r="F65" s="130">
        <f t="shared" si="6"/>
        <v>60035.49</v>
      </c>
    </row>
    <row r="67" spans="1:7" ht="15.75" thickBot="1" x14ac:dyDescent="0.3">
      <c r="A67" s="68" t="s">
        <v>339</v>
      </c>
      <c r="B67" s="132">
        <f>B22-B60+B65</f>
        <v>-1834.0699999999943</v>
      </c>
      <c r="C67" s="132">
        <f>C22-C60+C65</f>
        <v>8655.3500000000204</v>
      </c>
      <c r="D67" s="132">
        <f>D22-D60+D65</f>
        <v>83095.28</v>
      </c>
      <c r="E67" s="132">
        <f>E22-E60+E65</f>
        <v>32738.76999999999</v>
      </c>
      <c r="F67" s="132">
        <f>F22-F60+F65</f>
        <v>122655.33000000002</v>
      </c>
      <c r="G67"/>
    </row>
    <row r="68" spans="1:7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scale="82" orientation="portrait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2976-5E32-4C40-B495-BB10F59D33DD}">
  <dimension ref="A1:G53"/>
  <sheetViews>
    <sheetView zoomScaleNormal="100" workbookViewId="0">
      <pane ySplit="6" topLeftCell="A22" activePane="bottomLeft" state="frozen"/>
      <selection pane="bottomLeft" activeCell="A2" sqref="A2:F2"/>
    </sheetView>
  </sheetViews>
  <sheetFormatPr defaultRowHeight="15" x14ac:dyDescent="0.25"/>
  <cols>
    <col min="1" max="1" width="41.28515625" bestFit="1" customWidth="1"/>
    <col min="2" max="2" width="14.140625" style="93" bestFit="1" customWidth="1"/>
    <col min="3" max="3" width="14.42578125" style="93" customWidth="1"/>
    <col min="4" max="4" width="15.140625" style="93" bestFit="1" customWidth="1"/>
    <col min="5" max="5" width="14.7109375" style="93" bestFit="1" customWidth="1"/>
    <col min="6" max="6" width="15.42578125" style="93" bestFit="1" customWidth="1"/>
    <col min="7" max="7" width="8.85546875" style="93"/>
  </cols>
  <sheetData>
    <row r="1" spans="1:6" x14ac:dyDescent="0.25">
      <c r="A1" s="159" t="s">
        <v>377</v>
      </c>
      <c r="B1" s="159"/>
      <c r="C1" s="159"/>
      <c r="D1" s="159"/>
      <c r="E1" s="159"/>
      <c r="F1" s="159"/>
    </row>
    <row r="2" spans="1:6" x14ac:dyDescent="0.25">
      <c r="A2" s="159" t="s">
        <v>312</v>
      </c>
      <c r="B2" s="159"/>
      <c r="C2" s="159"/>
      <c r="D2" s="159"/>
      <c r="E2" s="159"/>
      <c r="F2" s="159"/>
    </row>
    <row r="3" spans="1:6" x14ac:dyDescent="0.25">
      <c r="A3" s="159">
        <v>2018</v>
      </c>
      <c r="B3" s="159"/>
      <c r="C3" s="159"/>
      <c r="D3" s="159"/>
      <c r="E3" s="159"/>
      <c r="F3" s="159"/>
    </row>
    <row r="4" spans="1:6" x14ac:dyDescent="0.25">
      <c r="A4" s="124"/>
      <c r="B4" s="124"/>
      <c r="C4" s="124"/>
      <c r="D4" s="124"/>
      <c r="E4" s="124"/>
      <c r="F4" s="124"/>
    </row>
    <row r="5" spans="1:6" x14ac:dyDescent="0.25">
      <c r="A5" s="124"/>
      <c r="B5" s="124"/>
      <c r="C5" s="124"/>
      <c r="D5" s="124"/>
      <c r="E5" s="124"/>
      <c r="F5" s="124"/>
    </row>
    <row r="6" spans="1:6" x14ac:dyDescent="0.25">
      <c r="B6" s="133" t="s">
        <v>340</v>
      </c>
      <c r="C6" s="133" t="s">
        <v>341</v>
      </c>
      <c r="D6" s="133" t="s">
        <v>342</v>
      </c>
      <c r="E6" s="133" t="s">
        <v>343</v>
      </c>
      <c r="F6" s="133" t="s">
        <v>218</v>
      </c>
    </row>
    <row r="7" spans="1:6" x14ac:dyDescent="0.25">
      <c r="A7" s="68" t="s">
        <v>63</v>
      </c>
    </row>
    <row r="8" spans="1:6" x14ac:dyDescent="0.25">
      <c r="A8" t="s">
        <v>347</v>
      </c>
      <c r="B8" s="93">
        <v>1259181.27</v>
      </c>
      <c r="C8" s="93">
        <v>3842825.02</v>
      </c>
      <c r="D8" s="93">
        <v>6380777.25</v>
      </c>
      <c r="E8" s="93">
        <v>7202321.2999999998</v>
      </c>
      <c r="F8" s="93">
        <f>SUM(B8:E8)</f>
        <v>18685104.84</v>
      </c>
    </row>
    <row r="9" spans="1:6" x14ac:dyDescent="0.25">
      <c r="A9" t="s">
        <v>355</v>
      </c>
      <c r="B9" s="93">
        <v>236007.94</v>
      </c>
      <c r="C9" s="93">
        <v>379397.28</v>
      </c>
      <c r="D9" s="93">
        <v>545988.51</v>
      </c>
      <c r="E9" s="93">
        <v>295631.26</v>
      </c>
      <c r="F9" s="93">
        <f t="shared" ref="F9:F13" si="0">SUM(B9:E9)</f>
        <v>1457024.99</v>
      </c>
    </row>
    <row r="10" spans="1:6" x14ac:dyDescent="0.25">
      <c r="A10" t="s">
        <v>356</v>
      </c>
      <c r="B10" s="93">
        <v>61335.59</v>
      </c>
      <c r="C10" s="93">
        <v>17413.54</v>
      </c>
      <c r="D10" s="93">
        <v>27676.38</v>
      </c>
      <c r="E10" s="93">
        <v>53826.559999999998</v>
      </c>
      <c r="F10" s="93">
        <f t="shared" si="0"/>
        <v>160252.07</v>
      </c>
    </row>
    <row r="11" spans="1:6" x14ac:dyDescent="0.25">
      <c r="A11" t="s">
        <v>357</v>
      </c>
      <c r="B11" s="93">
        <v>658</v>
      </c>
      <c r="C11" s="93">
        <v>1919</v>
      </c>
      <c r="D11" s="93">
        <v>477</v>
      </c>
      <c r="E11" s="93">
        <v>592.5</v>
      </c>
      <c r="F11" s="93">
        <f t="shared" si="0"/>
        <v>3646.5</v>
      </c>
    </row>
    <row r="12" spans="1:6" x14ac:dyDescent="0.25">
      <c r="A12" t="s">
        <v>358</v>
      </c>
      <c r="B12" s="93">
        <v>59302.75</v>
      </c>
      <c r="C12" s="93">
        <v>176078.5</v>
      </c>
      <c r="D12" s="93">
        <v>289922.25</v>
      </c>
      <c r="E12" s="93">
        <v>364686</v>
      </c>
      <c r="F12" s="93">
        <f t="shared" si="0"/>
        <v>889989.5</v>
      </c>
    </row>
    <row r="13" spans="1:6" x14ac:dyDescent="0.25">
      <c r="A13" t="s">
        <v>359</v>
      </c>
      <c r="B13" s="93">
        <v>-878.76</v>
      </c>
      <c r="C13" s="93">
        <v>0</v>
      </c>
      <c r="D13" s="93">
        <v>0</v>
      </c>
      <c r="E13" s="93">
        <v>-5916</v>
      </c>
      <c r="F13" s="93">
        <f t="shared" si="0"/>
        <v>-6794.76</v>
      </c>
    </row>
    <row r="14" spans="1:6" x14ac:dyDescent="0.25">
      <c r="A14" s="68" t="s">
        <v>256</v>
      </c>
      <c r="B14" s="130">
        <f>SUM(B8:B13)</f>
        <v>1615606.79</v>
      </c>
      <c r="C14" s="130">
        <f>SUM(C8:C13)</f>
        <v>4417633.34</v>
      </c>
      <c r="D14" s="130">
        <f>SUM(D8:D13)</f>
        <v>7244841.3899999997</v>
      </c>
      <c r="E14" s="130">
        <f>SUM(E8:E13)</f>
        <v>7911141.6199999992</v>
      </c>
      <c r="F14" s="130">
        <f>SUM(F8:F13)</f>
        <v>21189223.139999997</v>
      </c>
    </row>
    <row r="16" spans="1:6" x14ac:dyDescent="0.25">
      <c r="A16" s="68" t="s">
        <v>318</v>
      </c>
      <c r="F16" s="93">
        <f t="shared" ref="F16:F42" si="1">SUM(B16:E16)</f>
        <v>0</v>
      </c>
    </row>
    <row r="17" spans="1:6" x14ac:dyDescent="0.25">
      <c r="A17" t="s">
        <v>348</v>
      </c>
      <c r="B17" s="93">
        <v>1244716.24</v>
      </c>
      <c r="C17" s="93">
        <v>3821573.32</v>
      </c>
      <c r="D17" s="93">
        <v>6368245.5999999996</v>
      </c>
      <c r="E17" s="93">
        <v>7185367.1200000001</v>
      </c>
      <c r="F17" s="93">
        <f>SUM(B17:E17)</f>
        <v>18619902.280000001</v>
      </c>
    </row>
    <row r="18" spans="1:6" x14ac:dyDescent="0.25">
      <c r="A18" t="s">
        <v>349</v>
      </c>
      <c r="B18" s="93">
        <v>220469.8</v>
      </c>
      <c r="C18" s="93">
        <v>359444.27</v>
      </c>
      <c r="D18" s="93">
        <v>528840.88</v>
      </c>
      <c r="E18" s="93">
        <v>274773.03000000003</v>
      </c>
      <c r="F18" s="93">
        <f t="shared" ref="F18:F26" si="2">SUM(B18:E18)</f>
        <v>1383527.9800000002</v>
      </c>
    </row>
    <row r="19" spans="1:6" x14ac:dyDescent="0.25">
      <c r="A19" t="s">
        <v>350</v>
      </c>
      <c r="B19" s="93">
        <v>58837.5</v>
      </c>
      <c r="C19" s="93">
        <v>16027.01</v>
      </c>
      <c r="D19" s="93">
        <v>26000.22</v>
      </c>
      <c r="E19" s="93">
        <v>51375.17</v>
      </c>
      <c r="F19" s="93">
        <f t="shared" si="2"/>
        <v>152239.9</v>
      </c>
    </row>
    <row r="20" spans="1:6" x14ac:dyDescent="0.25">
      <c r="A20" t="s">
        <v>351</v>
      </c>
      <c r="B20" s="93">
        <v>658</v>
      </c>
      <c r="C20" s="93">
        <v>1919</v>
      </c>
      <c r="D20" s="93">
        <v>477</v>
      </c>
      <c r="E20" s="93">
        <v>592.5</v>
      </c>
      <c r="F20" s="93">
        <f t="shared" si="2"/>
        <v>3646.5</v>
      </c>
    </row>
    <row r="21" spans="1:6" x14ac:dyDescent="0.25">
      <c r="A21" t="s">
        <v>320</v>
      </c>
      <c r="B21" s="93">
        <v>19986.22</v>
      </c>
      <c r="C21" s="93">
        <v>12338.52</v>
      </c>
      <c r="D21" s="93">
        <v>39850.800000000003</v>
      </c>
      <c r="E21" s="93">
        <v>28631.47</v>
      </c>
      <c r="F21" s="93">
        <f t="shared" si="2"/>
        <v>100807.01000000001</v>
      </c>
    </row>
    <row r="22" spans="1:6" x14ac:dyDescent="0.25">
      <c r="A22" t="s">
        <v>352</v>
      </c>
      <c r="B22" s="93">
        <v>-3444.15</v>
      </c>
      <c r="C22" s="93">
        <v>79.5</v>
      </c>
      <c r="D22" s="93">
        <v>-574</v>
      </c>
      <c r="E22" s="93">
        <v>602.98</v>
      </c>
      <c r="F22" s="93">
        <f t="shared" si="2"/>
        <v>-3335.67</v>
      </c>
    </row>
    <row r="23" spans="1:6" x14ac:dyDescent="0.25">
      <c r="A23" t="s">
        <v>353</v>
      </c>
      <c r="B23" s="93">
        <v>720.74</v>
      </c>
      <c r="C23" s="93">
        <f>1.92-1643.32</f>
        <v>-1641.3999999999999</v>
      </c>
      <c r="D23" s="93">
        <v>3077.78</v>
      </c>
      <c r="E23" s="93">
        <v>0</v>
      </c>
      <c r="F23" s="93">
        <f t="shared" si="2"/>
        <v>2157.1200000000003</v>
      </c>
    </row>
    <row r="24" spans="1:6" x14ac:dyDescent="0.25">
      <c r="A24" t="s">
        <v>365</v>
      </c>
      <c r="B24" s="93">
        <v>0</v>
      </c>
      <c r="C24" s="93">
        <v>0</v>
      </c>
      <c r="D24" s="93">
        <v>-3.34</v>
      </c>
      <c r="E24" s="93">
        <v>0</v>
      </c>
      <c r="F24" s="93">
        <f t="shared" si="2"/>
        <v>-3.34</v>
      </c>
    </row>
    <row r="25" spans="1:6" x14ac:dyDescent="0.25">
      <c r="A25" t="s">
        <v>376</v>
      </c>
      <c r="B25" s="93">
        <v>34120.78</v>
      </c>
      <c r="C25" s="93">
        <v>75014.87</v>
      </c>
      <c r="D25" s="93">
        <v>138492.9</v>
      </c>
      <c r="E25" s="93">
        <v>140698.1</v>
      </c>
      <c r="F25" s="93">
        <f t="shared" si="2"/>
        <v>388326.65</v>
      </c>
    </row>
    <row r="26" spans="1:6" x14ac:dyDescent="0.25">
      <c r="A26" t="s">
        <v>354</v>
      </c>
      <c r="B26" s="93">
        <v>38830.42</v>
      </c>
      <c r="C26" s="93">
        <v>54101.21</v>
      </c>
      <c r="D26" s="93">
        <v>74590.929999999993</v>
      </c>
      <c r="E26" s="93">
        <v>87541.119999999995</v>
      </c>
      <c r="F26" s="93">
        <f t="shared" si="2"/>
        <v>255063.67999999999</v>
      </c>
    </row>
    <row r="27" spans="1:6" x14ac:dyDescent="0.25">
      <c r="A27" s="68" t="s">
        <v>321</v>
      </c>
      <c r="B27" s="130">
        <f>SUM(B17:B26)</f>
        <v>1614895.55</v>
      </c>
      <c r="C27" s="130">
        <f>SUM(C17:C26)</f>
        <v>4338856.2999999989</v>
      </c>
      <c r="D27" s="130">
        <f>SUM(D17:D26)</f>
        <v>7178998.7699999996</v>
      </c>
      <c r="E27" s="130">
        <f>SUM(E17:E26)</f>
        <v>7769581.4900000002</v>
      </c>
      <c r="F27" s="130">
        <f>SUM(F17:F26)</f>
        <v>20902332.109999999</v>
      </c>
    </row>
    <row r="29" spans="1:6" ht="15.75" thickBot="1" x14ac:dyDescent="0.3">
      <c r="A29" s="68" t="s">
        <v>243</v>
      </c>
      <c r="B29" s="131">
        <f>B14-B27</f>
        <v>711.23999999999069</v>
      </c>
      <c r="C29" s="131">
        <f>C14-C27</f>
        <v>78777.040000000969</v>
      </c>
      <c r="D29" s="131">
        <f>D14-D27</f>
        <v>65842.620000000112</v>
      </c>
      <c r="E29" s="131">
        <f>E14-E27</f>
        <v>141560.12999999896</v>
      </c>
      <c r="F29" s="131">
        <f>F14-F27</f>
        <v>286891.02999999747</v>
      </c>
    </row>
    <row r="31" spans="1:6" x14ac:dyDescent="0.25">
      <c r="A31" s="68" t="s">
        <v>241</v>
      </c>
    </row>
    <row r="32" spans="1:6" x14ac:dyDescent="0.25">
      <c r="A32" s="68" t="s">
        <v>327</v>
      </c>
    </row>
    <row r="33" spans="1:6" x14ac:dyDescent="0.25">
      <c r="A33" t="s">
        <v>330</v>
      </c>
      <c r="B33" s="93">
        <v>838.82</v>
      </c>
      <c r="C33" s="93">
        <v>672.84</v>
      </c>
      <c r="D33" s="93">
        <v>0</v>
      </c>
      <c r="E33" s="93">
        <v>0</v>
      </c>
      <c r="F33" s="93">
        <f t="shared" si="1"/>
        <v>1511.66</v>
      </c>
    </row>
    <row r="34" spans="1:6" x14ac:dyDescent="0.25">
      <c r="A34" t="s">
        <v>331</v>
      </c>
      <c r="B34" s="93">
        <v>142.41999999999999</v>
      </c>
      <c r="C34" s="93">
        <v>418.29</v>
      </c>
      <c r="D34" s="93">
        <v>418.29</v>
      </c>
      <c r="E34" s="93">
        <v>418.29</v>
      </c>
      <c r="F34" s="93">
        <f t="shared" si="1"/>
        <v>1397.29</v>
      </c>
    </row>
    <row r="35" spans="1:6" x14ac:dyDescent="0.25">
      <c r="A35" s="68" t="s">
        <v>375</v>
      </c>
      <c r="B35" s="130">
        <f>SUM(B33:B34)</f>
        <v>981.24</v>
      </c>
      <c r="C35" s="130">
        <f>SUM(C33:C34)</f>
        <v>1091.1300000000001</v>
      </c>
      <c r="D35" s="130">
        <f>SUM(D33:D34)</f>
        <v>418.29</v>
      </c>
      <c r="E35" s="130">
        <f>SUM(E33:E34)</f>
        <v>418.29</v>
      </c>
      <c r="F35" s="130">
        <f>SUM(F33:F34)</f>
        <v>2908.95</v>
      </c>
    </row>
    <row r="37" spans="1:6" x14ac:dyDescent="0.25">
      <c r="A37" s="68" t="s">
        <v>332</v>
      </c>
    </row>
    <row r="38" spans="1:6" x14ac:dyDescent="0.25">
      <c r="A38" t="s">
        <v>287</v>
      </c>
      <c r="B38" s="93">
        <v>699.09</v>
      </c>
      <c r="C38" s="93">
        <v>609.66</v>
      </c>
      <c r="D38" s="93">
        <v>670.54</v>
      </c>
      <c r="E38" s="93">
        <v>716.49</v>
      </c>
      <c r="F38" s="93">
        <f t="shared" si="1"/>
        <v>2695.7799999999997</v>
      </c>
    </row>
    <row r="39" spans="1:6" x14ac:dyDescent="0.25">
      <c r="A39" t="s">
        <v>289</v>
      </c>
      <c r="B39" s="93">
        <v>6859</v>
      </c>
      <c r="C39" s="93">
        <v>6779.99</v>
      </c>
      <c r="D39" s="93">
        <v>6779.99</v>
      </c>
      <c r="E39" s="93">
        <v>6779.99</v>
      </c>
      <c r="F39" s="93">
        <f t="shared" si="1"/>
        <v>27198.97</v>
      </c>
    </row>
    <row r="40" spans="1:6" x14ac:dyDescent="0.25">
      <c r="A40" t="s">
        <v>366</v>
      </c>
      <c r="B40" s="93">
        <v>0</v>
      </c>
      <c r="C40" s="93">
        <v>0</v>
      </c>
      <c r="D40" s="93">
        <v>0</v>
      </c>
      <c r="E40" s="93">
        <v>820.8</v>
      </c>
      <c r="F40" s="93">
        <f t="shared" si="1"/>
        <v>820.8</v>
      </c>
    </row>
    <row r="41" spans="1:6" x14ac:dyDescent="0.25">
      <c r="A41" t="s">
        <v>292</v>
      </c>
      <c r="B41" s="93">
        <v>0</v>
      </c>
      <c r="C41" s="93">
        <v>587.5</v>
      </c>
      <c r="D41" s="93">
        <v>0</v>
      </c>
      <c r="E41" s="93">
        <v>0</v>
      </c>
      <c r="F41" s="93">
        <f t="shared" si="1"/>
        <v>587.5</v>
      </c>
    </row>
    <row r="42" spans="1:6" x14ac:dyDescent="0.25">
      <c r="A42" t="s">
        <v>298</v>
      </c>
      <c r="B42" s="93">
        <v>0</v>
      </c>
      <c r="C42" s="93">
        <v>0</v>
      </c>
      <c r="D42" s="93">
        <v>672.84</v>
      </c>
      <c r="E42" s="93">
        <v>672.82</v>
      </c>
      <c r="F42" s="93">
        <f t="shared" si="1"/>
        <v>1345.66</v>
      </c>
    </row>
    <row r="43" spans="1:6" x14ac:dyDescent="0.25">
      <c r="A43" s="68" t="s">
        <v>335</v>
      </c>
      <c r="B43" s="130">
        <f>SUM(B38:B42)</f>
        <v>7558.09</v>
      </c>
      <c r="C43" s="130">
        <f>SUM(C38:C42)</f>
        <v>7977.15</v>
      </c>
      <c r="D43" s="130">
        <f>SUM(D38:D42)</f>
        <v>8123.37</v>
      </c>
      <c r="E43" s="130">
        <f>SUM(E38:E42)</f>
        <v>8990.0999999999985</v>
      </c>
      <c r="F43" s="130">
        <f>SUM(F38:F42)</f>
        <v>32648.71</v>
      </c>
    </row>
    <row r="44" spans="1:6" x14ac:dyDescent="0.25">
      <c r="A44" t="s">
        <v>280</v>
      </c>
    </row>
    <row r="45" spans="1:6" x14ac:dyDescent="0.25">
      <c r="A45" s="68" t="s">
        <v>360</v>
      </c>
    </row>
    <row r="46" spans="1:6" x14ac:dyDescent="0.25">
      <c r="A46" t="s">
        <v>361</v>
      </c>
      <c r="B46" s="93">
        <v>34022.5</v>
      </c>
      <c r="C46" s="93">
        <v>34265</v>
      </c>
      <c r="D46" s="93">
        <v>34451.25</v>
      </c>
      <c r="E46" s="93">
        <v>34845</v>
      </c>
      <c r="F46" s="93">
        <f>SUM(B46:E46)</f>
        <v>137583.75</v>
      </c>
    </row>
    <row r="47" spans="1:6" x14ac:dyDescent="0.25">
      <c r="A47" s="68" t="s">
        <v>306</v>
      </c>
      <c r="B47" s="93">
        <v>0</v>
      </c>
      <c r="C47" s="93">
        <v>0</v>
      </c>
      <c r="D47" s="93">
        <v>0</v>
      </c>
      <c r="E47" s="93">
        <v>-219.74</v>
      </c>
      <c r="F47" s="93">
        <f>SUM(B47:E47)</f>
        <v>-219.74</v>
      </c>
    </row>
    <row r="48" spans="1:6" x14ac:dyDescent="0.25">
      <c r="A48" s="68" t="s">
        <v>362</v>
      </c>
      <c r="B48" s="130">
        <f>B46+B47</f>
        <v>34022.5</v>
      </c>
      <c r="C48" s="130">
        <f t="shared" ref="C48:F48" si="3">C46+C47</f>
        <v>34265</v>
      </c>
      <c r="D48" s="130">
        <f t="shared" si="3"/>
        <v>34451.25</v>
      </c>
      <c r="E48" s="130">
        <f t="shared" si="3"/>
        <v>34625.26</v>
      </c>
      <c r="F48" s="130">
        <f t="shared" si="3"/>
        <v>137364.01</v>
      </c>
    </row>
    <row r="50" spans="1:7" ht="15.75" thickBot="1" x14ac:dyDescent="0.3">
      <c r="A50" s="68" t="s">
        <v>242</v>
      </c>
      <c r="B50" s="131">
        <f>B35+B43+B48</f>
        <v>42561.83</v>
      </c>
      <c r="C50" s="131">
        <f>C35+C43+C48</f>
        <v>43333.279999999999</v>
      </c>
      <c r="D50" s="131">
        <f>D35+D43+D48</f>
        <v>42992.91</v>
      </c>
      <c r="E50" s="131">
        <f>E35+E43+E48</f>
        <v>44033.65</v>
      </c>
      <c r="F50" s="131">
        <f>F35+F43+F48</f>
        <v>172921.67</v>
      </c>
    </row>
    <row r="52" spans="1:7" ht="15.75" thickBot="1" x14ac:dyDescent="0.3">
      <c r="A52" s="68" t="s">
        <v>339</v>
      </c>
      <c r="B52" s="132">
        <f>B29-B50</f>
        <v>-41850.590000000011</v>
      </c>
      <c r="C52" s="132">
        <f>C29-C50</f>
        <v>35443.76000000097</v>
      </c>
      <c r="D52" s="132">
        <f>D29-D50</f>
        <v>22849.710000000108</v>
      </c>
      <c r="E52" s="132">
        <f>E29-E50</f>
        <v>97526.479999998963</v>
      </c>
      <c r="F52" s="132">
        <f>F29-F50</f>
        <v>113969.35999999745</v>
      </c>
      <c r="G52"/>
    </row>
    <row r="53" spans="1:7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4EA3-8459-40E5-8D33-7E1539254BBA}">
  <dimension ref="A1:G19"/>
  <sheetViews>
    <sheetView zoomScaleNormal="100" workbookViewId="0">
      <pane ySplit="6" topLeftCell="A7" activePane="bottomLeft" state="frozen"/>
      <selection pane="bottomLeft" activeCell="G26" sqref="G26"/>
    </sheetView>
  </sheetViews>
  <sheetFormatPr defaultRowHeight="15" x14ac:dyDescent="0.25"/>
  <cols>
    <col min="1" max="1" width="41.28515625" bestFit="1" customWidth="1"/>
    <col min="2" max="5" width="13.28515625" style="93" bestFit="1" customWidth="1"/>
    <col min="6" max="6" width="14.28515625" style="93" bestFit="1" customWidth="1"/>
    <col min="7" max="7" width="9.140625" style="93"/>
  </cols>
  <sheetData>
    <row r="1" spans="1:6" x14ac:dyDescent="0.25">
      <c r="A1" s="159" t="s">
        <v>368</v>
      </c>
      <c r="B1" s="159"/>
      <c r="C1" s="159"/>
      <c r="D1" s="159"/>
      <c r="E1" s="159"/>
      <c r="F1" s="159"/>
    </row>
    <row r="2" spans="1:6" x14ac:dyDescent="0.25">
      <c r="A2" s="159" t="s">
        <v>312</v>
      </c>
      <c r="B2" s="159"/>
      <c r="C2" s="159"/>
      <c r="D2" s="159"/>
      <c r="E2" s="159"/>
      <c r="F2" s="159"/>
    </row>
    <row r="3" spans="1:6" x14ac:dyDescent="0.25">
      <c r="A3" s="159">
        <v>2018</v>
      </c>
      <c r="B3" s="159"/>
      <c r="C3" s="159"/>
      <c r="D3" s="159"/>
      <c r="E3" s="159"/>
      <c r="F3" s="159"/>
    </row>
    <row r="4" spans="1:6" x14ac:dyDescent="0.25">
      <c r="A4" s="124"/>
      <c r="B4" s="124"/>
      <c r="C4" s="124"/>
      <c r="D4" s="124"/>
      <c r="E4" s="124"/>
      <c r="F4" s="124"/>
    </row>
    <row r="5" spans="1:6" x14ac:dyDescent="0.25">
      <c r="A5" s="124"/>
      <c r="B5" s="124"/>
      <c r="C5" s="124"/>
      <c r="D5" s="124"/>
      <c r="E5" s="124"/>
      <c r="F5" s="124"/>
    </row>
    <row r="6" spans="1:6" x14ac:dyDescent="0.25">
      <c r="B6" s="133" t="s">
        <v>340</v>
      </c>
      <c r="C6" s="133" t="s">
        <v>341</v>
      </c>
      <c r="D6" s="133" t="s">
        <v>342</v>
      </c>
      <c r="E6" s="133" t="s">
        <v>343</v>
      </c>
      <c r="F6" s="133" t="s">
        <v>218</v>
      </c>
    </row>
    <row r="8" spans="1:6" s="93" customFormat="1" x14ac:dyDescent="0.25">
      <c r="A8" s="68" t="s">
        <v>332</v>
      </c>
    </row>
    <row r="9" spans="1:6" s="93" customFormat="1" x14ac:dyDescent="0.25">
      <c r="A9" t="s">
        <v>287</v>
      </c>
      <c r="B9" s="93">
        <v>218.79</v>
      </c>
      <c r="C9" s="93">
        <v>218.72</v>
      </c>
      <c r="D9" s="93">
        <v>219.51</v>
      </c>
      <c r="E9" s="93">
        <v>218.41</v>
      </c>
      <c r="F9" s="93">
        <f t="shared" ref="F9:F10" si="0">SUM(B9:E9)</f>
        <v>875.43</v>
      </c>
    </row>
    <row r="10" spans="1:6" s="93" customFormat="1" x14ac:dyDescent="0.25">
      <c r="A10" t="s">
        <v>369</v>
      </c>
      <c r="B10" s="93">
        <v>109</v>
      </c>
      <c r="C10" s="93">
        <v>0</v>
      </c>
      <c r="D10" s="93">
        <v>0</v>
      </c>
      <c r="E10" s="93">
        <v>0</v>
      </c>
      <c r="F10" s="93">
        <f t="shared" si="0"/>
        <v>109</v>
      </c>
    </row>
    <row r="11" spans="1:6" s="93" customFormat="1" x14ac:dyDescent="0.25">
      <c r="A11" s="68" t="s">
        <v>335</v>
      </c>
      <c r="B11" s="130">
        <f>SUM(B9:B10)</f>
        <v>327.78999999999996</v>
      </c>
      <c r="C11" s="130">
        <f>SUM(C9:C10)</f>
        <v>218.72</v>
      </c>
      <c r="D11" s="130">
        <f>SUM(D9:D10)</f>
        <v>219.51</v>
      </c>
      <c r="E11" s="130">
        <f>SUM(E9:E10)</f>
        <v>218.41</v>
      </c>
      <c r="F11" s="130">
        <f>SUM(F9:F10)</f>
        <v>984.43</v>
      </c>
    </row>
    <row r="12" spans="1:6" s="93" customFormat="1" x14ac:dyDescent="0.25">
      <c r="A12" t="s">
        <v>280</v>
      </c>
    </row>
    <row r="13" spans="1:6" s="93" customFormat="1" x14ac:dyDescent="0.25">
      <c r="A13" s="68" t="s">
        <v>360</v>
      </c>
    </row>
    <row r="14" spans="1:6" s="93" customFormat="1" x14ac:dyDescent="0.25">
      <c r="A14" t="s">
        <v>306</v>
      </c>
      <c r="B14" s="93">
        <v>3744.3</v>
      </c>
      <c r="C14" s="93">
        <v>2815.01</v>
      </c>
      <c r="D14" s="93">
        <v>3116.6</v>
      </c>
      <c r="E14" s="93">
        <v>2687.25</v>
      </c>
      <c r="F14" s="93">
        <f>SUM(B14:E14)</f>
        <v>12363.16</v>
      </c>
    </row>
    <row r="15" spans="1:6" s="93" customFormat="1" x14ac:dyDescent="0.25">
      <c r="A15" t="s">
        <v>307</v>
      </c>
      <c r="B15" s="93">
        <v>-881.76</v>
      </c>
      <c r="C15" s="93">
        <v>-506.4</v>
      </c>
      <c r="D15" s="93">
        <v>-560.66</v>
      </c>
      <c r="E15" s="93">
        <v>-542.57000000000005</v>
      </c>
      <c r="F15" s="93">
        <f>SUM(B15:E15)</f>
        <v>-2491.39</v>
      </c>
    </row>
    <row r="16" spans="1:6" s="93" customFormat="1" x14ac:dyDescent="0.25">
      <c r="A16" s="68" t="s">
        <v>362</v>
      </c>
      <c r="B16" s="130">
        <f>B14+B15</f>
        <v>2862.54</v>
      </c>
      <c r="C16" s="130">
        <f>C14+C15</f>
        <v>2308.61</v>
      </c>
      <c r="D16" s="130">
        <f t="shared" ref="D16:F16" si="1">D14+D15</f>
        <v>2555.94</v>
      </c>
      <c r="E16" s="130">
        <f t="shared" si="1"/>
        <v>2144.6799999999998</v>
      </c>
      <c r="F16" s="130">
        <f t="shared" si="1"/>
        <v>9871.77</v>
      </c>
    </row>
    <row r="18" spans="1:7" ht="15.75" thickBot="1" x14ac:dyDescent="0.3">
      <c r="A18" s="68" t="s">
        <v>339</v>
      </c>
      <c r="B18" s="132">
        <f>B16-B11</f>
        <v>2534.75</v>
      </c>
      <c r="C18" s="132">
        <f t="shared" ref="C18:E18" si="2">C16-C11</f>
        <v>2089.8900000000003</v>
      </c>
      <c r="D18" s="132">
        <f t="shared" si="2"/>
        <v>2336.4300000000003</v>
      </c>
      <c r="E18" s="132">
        <f t="shared" si="2"/>
        <v>1926.2699999999998</v>
      </c>
      <c r="F18" s="132">
        <f>F16-F11</f>
        <v>8887.34</v>
      </c>
      <c r="G18"/>
    </row>
    <row r="19" spans="1:7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357A-4B88-4B90-AAD9-1420B2979BC4}">
  <dimension ref="A1:H83"/>
  <sheetViews>
    <sheetView zoomScaleNormal="100" workbookViewId="0">
      <pane ySplit="6" topLeftCell="A7" activePane="bottomLeft" state="frozen"/>
      <selection pane="bottomLeft" activeCell="F7" sqref="F7"/>
    </sheetView>
  </sheetViews>
  <sheetFormatPr defaultRowHeight="15" x14ac:dyDescent="0.25"/>
  <cols>
    <col min="1" max="1" width="44.42578125" bestFit="1" customWidth="1"/>
    <col min="2" max="3" width="13" style="93" bestFit="1" customWidth="1"/>
    <col min="4" max="4" width="13.42578125" style="93" bestFit="1" customWidth="1"/>
    <col min="5" max="6" width="13" style="93" bestFit="1" customWidth="1"/>
    <col min="7" max="7" width="13.42578125" style="93" bestFit="1" customWidth="1"/>
    <col min="8" max="8" width="9.140625" style="93"/>
  </cols>
  <sheetData>
    <row r="1" spans="1:7" x14ac:dyDescent="0.25">
      <c r="A1" s="159" t="s">
        <v>393</v>
      </c>
      <c r="B1" s="159"/>
      <c r="C1" s="159"/>
      <c r="D1" s="159"/>
      <c r="E1" s="159"/>
      <c r="F1" s="159"/>
      <c r="G1" s="159"/>
    </row>
    <row r="2" spans="1:7" x14ac:dyDescent="0.25">
      <c r="A2" s="159" t="s">
        <v>312</v>
      </c>
      <c r="B2" s="159"/>
      <c r="C2" s="159"/>
      <c r="D2" s="159"/>
      <c r="E2" s="159"/>
      <c r="F2" s="159"/>
      <c r="G2" s="159"/>
    </row>
    <row r="3" spans="1:7" x14ac:dyDescent="0.25">
      <c r="A3" s="159">
        <v>2018</v>
      </c>
      <c r="B3" s="159"/>
      <c r="C3" s="159"/>
      <c r="D3" s="159"/>
      <c r="E3" s="159"/>
      <c r="F3" s="159"/>
      <c r="G3" s="159"/>
    </row>
    <row r="4" spans="1:7" x14ac:dyDescent="0.25">
      <c r="A4" s="124"/>
      <c r="B4" s="124"/>
      <c r="C4" s="124"/>
      <c r="D4" s="124"/>
      <c r="E4" s="124"/>
      <c r="F4" s="124"/>
      <c r="G4" s="124"/>
    </row>
    <row r="5" spans="1:7" x14ac:dyDescent="0.25">
      <c r="A5" s="124"/>
      <c r="B5" s="124"/>
      <c r="C5" s="124"/>
      <c r="D5" s="124"/>
      <c r="E5" s="124"/>
      <c r="F5" s="124"/>
      <c r="G5" s="124"/>
    </row>
    <row r="6" spans="1:7" x14ac:dyDescent="0.25">
      <c r="B6" s="133" t="s">
        <v>340</v>
      </c>
      <c r="C6" s="133" t="s">
        <v>341</v>
      </c>
      <c r="D6" s="133" t="s">
        <v>342</v>
      </c>
      <c r="E6" s="133" t="s">
        <v>343</v>
      </c>
      <c r="F6" s="133" t="s">
        <v>426</v>
      </c>
      <c r="G6" s="133" t="s">
        <v>218</v>
      </c>
    </row>
    <row r="7" spans="1:7" x14ac:dyDescent="0.25">
      <c r="A7" s="68" t="s">
        <v>63</v>
      </c>
    </row>
    <row r="8" spans="1:7" x14ac:dyDescent="0.25">
      <c r="A8" t="s">
        <v>394</v>
      </c>
      <c r="B8" s="93">
        <v>365</v>
      </c>
      <c r="C8" s="93">
        <v>372</v>
      </c>
      <c r="D8" s="93">
        <v>340</v>
      </c>
      <c r="E8" s="93">
        <v>208</v>
      </c>
      <c r="G8" s="93">
        <f>SUM(B8:F8)</f>
        <v>1285</v>
      </c>
    </row>
    <row r="9" spans="1:7" x14ac:dyDescent="0.25">
      <c r="A9" t="s">
        <v>395</v>
      </c>
      <c r="B9" s="93">
        <v>697</v>
      </c>
      <c r="C9" s="93">
        <v>736</v>
      </c>
      <c r="D9" s="93">
        <v>692</v>
      </c>
      <c r="E9" s="93">
        <v>462</v>
      </c>
      <c r="G9" s="93">
        <f t="shared" ref="G9:G13" si="0">SUM(B9:F9)</f>
        <v>2587</v>
      </c>
    </row>
    <row r="10" spans="1:7" x14ac:dyDescent="0.25">
      <c r="A10" t="s">
        <v>419</v>
      </c>
      <c r="B10" s="93">
        <v>207.81</v>
      </c>
      <c r="C10" s="93">
        <v>0</v>
      </c>
      <c r="D10" s="93">
        <v>101.02</v>
      </c>
      <c r="E10" s="93">
        <f>55.84+184</f>
        <v>239.84</v>
      </c>
      <c r="G10" s="93">
        <f t="shared" si="0"/>
        <v>548.66999999999996</v>
      </c>
    </row>
    <row r="11" spans="1:7" x14ac:dyDescent="0.25">
      <c r="A11" t="s">
        <v>397</v>
      </c>
      <c r="B11" s="93">
        <v>55.65</v>
      </c>
      <c r="C11" s="93">
        <v>1299.6300000000001</v>
      </c>
      <c r="D11" s="93">
        <v>1258.3699999999999</v>
      </c>
      <c r="E11" s="93">
        <v>992.9</v>
      </c>
      <c r="G11" s="93">
        <f t="shared" si="0"/>
        <v>3606.55</v>
      </c>
    </row>
    <row r="12" spans="1:7" x14ac:dyDescent="0.25">
      <c r="A12" t="s">
        <v>396</v>
      </c>
      <c r="B12" s="93">
        <v>904.5</v>
      </c>
      <c r="C12" s="93">
        <v>0</v>
      </c>
      <c r="D12" s="93">
        <v>0</v>
      </c>
      <c r="E12" s="93">
        <v>0</v>
      </c>
      <c r="G12" s="93">
        <f t="shared" si="0"/>
        <v>904.5</v>
      </c>
    </row>
    <row r="13" spans="1:7" x14ac:dyDescent="0.25">
      <c r="A13" t="s">
        <v>398</v>
      </c>
      <c r="B13" s="93">
        <v>140541.41</v>
      </c>
      <c r="C13" s="93">
        <v>129527.17</v>
      </c>
      <c r="D13" s="93">
        <v>122190.47</v>
      </c>
      <c r="E13" s="93">
        <v>75732.429999999993</v>
      </c>
      <c r="G13" s="93">
        <f t="shared" si="0"/>
        <v>467991.48000000004</v>
      </c>
    </row>
    <row r="14" spans="1:7" s="93" customFormat="1" x14ac:dyDescent="0.25">
      <c r="A14" s="68" t="s">
        <v>256</v>
      </c>
      <c r="B14" s="130">
        <f t="shared" ref="B14:G14" si="1">SUM(B8:B13)</f>
        <v>142771.37</v>
      </c>
      <c r="C14" s="130">
        <f t="shared" si="1"/>
        <v>131934.79999999999</v>
      </c>
      <c r="D14" s="130">
        <f t="shared" si="1"/>
        <v>124581.86</v>
      </c>
      <c r="E14" s="130">
        <f t="shared" si="1"/>
        <v>77635.17</v>
      </c>
      <c r="F14" s="130">
        <f t="shared" si="1"/>
        <v>0</v>
      </c>
      <c r="G14" s="130">
        <f t="shared" si="1"/>
        <v>476923.20000000007</v>
      </c>
    </row>
    <row r="16" spans="1:7" s="93" customFormat="1" x14ac:dyDescent="0.25">
      <c r="A16" s="68" t="s">
        <v>318</v>
      </c>
    </row>
    <row r="17" spans="1:7" s="93" customFormat="1" x14ac:dyDescent="0.25">
      <c r="A17" t="s">
        <v>399</v>
      </c>
      <c r="B17" s="93">
        <v>489.92</v>
      </c>
      <c r="C17" s="93">
        <v>578.66999999999996</v>
      </c>
      <c r="D17" s="93">
        <v>0</v>
      </c>
      <c r="E17" s="93">
        <v>0</v>
      </c>
      <c r="G17" s="93">
        <f>SUM(B17:F17)</f>
        <v>1068.5899999999999</v>
      </c>
    </row>
    <row r="18" spans="1:7" s="93" customFormat="1" x14ac:dyDescent="0.25">
      <c r="A18" s="68" t="s">
        <v>321</v>
      </c>
      <c r="B18" s="130">
        <f t="shared" ref="B18:G18" si="2">SUM(B17:B17)</f>
        <v>489.92</v>
      </c>
      <c r="C18" s="130">
        <f t="shared" si="2"/>
        <v>578.66999999999996</v>
      </c>
      <c r="D18" s="130">
        <f t="shared" si="2"/>
        <v>0</v>
      </c>
      <c r="E18" s="130">
        <f t="shared" si="2"/>
        <v>0</v>
      </c>
      <c r="F18" s="130">
        <f t="shared" si="2"/>
        <v>0</v>
      </c>
      <c r="G18" s="130">
        <f t="shared" si="2"/>
        <v>1068.5899999999999</v>
      </c>
    </row>
    <row r="20" spans="1:7" s="93" customFormat="1" ht="15.75" thickBot="1" x14ac:dyDescent="0.3">
      <c r="A20" s="68" t="s">
        <v>243</v>
      </c>
      <c r="B20" s="131">
        <f t="shared" ref="B20:G20" si="3">B14-B18</f>
        <v>142281.44999999998</v>
      </c>
      <c r="C20" s="131">
        <f t="shared" si="3"/>
        <v>131356.12999999998</v>
      </c>
      <c r="D20" s="131">
        <f t="shared" si="3"/>
        <v>124581.86</v>
      </c>
      <c r="E20" s="131">
        <f t="shared" si="3"/>
        <v>77635.17</v>
      </c>
      <c r="F20" s="131">
        <f t="shared" si="3"/>
        <v>0</v>
      </c>
      <c r="G20" s="131">
        <f t="shared" si="3"/>
        <v>475854.61000000004</v>
      </c>
    </row>
    <row r="22" spans="1:7" s="93" customFormat="1" x14ac:dyDescent="0.25">
      <c r="A22" s="68" t="s">
        <v>241</v>
      </c>
    </row>
    <row r="23" spans="1:7" s="93" customFormat="1" x14ac:dyDescent="0.25">
      <c r="A23" t="s">
        <v>258</v>
      </c>
      <c r="G23" s="93">
        <f t="shared" ref="G23" si="4">SUM(B23:E23)</f>
        <v>0</v>
      </c>
    </row>
    <row r="24" spans="1:7" s="93" customFormat="1" x14ac:dyDescent="0.25">
      <c r="A24" t="s">
        <v>322</v>
      </c>
      <c r="B24" s="93">
        <v>12275.35</v>
      </c>
      <c r="C24" s="93">
        <v>24352.44</v>
      </c>
      <c r="D24" s="93">
        <v>34915.49</v>
      </c>
      <c r="E24" s="93">
        <v>21281.54</v>
      </c>
      <c r="G24" s="93">
        <f>SUM(B24:F24)</f>
        <v>92824.82</v>
      </c>
    </row>
    <row r="25" spans="1:7" s="93" customFormat="1" x14ac:dyDescent="0.25">
      <c r="A25" t="s">
        <v>323</v>
      </c>
      <c r="B25" s="93">
        <f>1186.7</f>
        <v>1186.7</v>
      </c>
      <c r="C25" s="93">
        <v>2326.7600000000002</v>
      </c>
      <c r="D25" s="93">
        <v>3211.52</v>
      </c>
      <c r="E25" s="93">
        <v>1831.17</v>
      </c>
      <c r="G25" s="93">
        <f t="shared" ref="G25:G31" si="5">SUM(B25:F25)</f>
        <v>8556.15</v>
      </c>
    </row>
    <row r="26" spans="1:7" s="93" customFormat="1" x14ac:dyDescent="0.25">
      <c r="A26" t="s">
        <v>324</v>
      </c>
      <c r="B26" s="93">
        <v>5181.21</v>
      </c>
      <c r="C26" s="93">
        <v>5181.21</v>
      </c>
      <c r="D26" s="93">
        <v>5370.82</v>
      </c>
      <c r="E26" s="93">
        <v>5181.21</v>
      </c>
      <c r="G26" s="93">
        <f t="shared" si="5"/>
        <v>20914.45</v>
      </c>
    </row>
    <row r="27" spans="1:7" s="93" customFormat="1" x14ac:dyDescent="0.25">
      <c r="A27" t="s">
        <v>325</v>
      </c>
      <c r="B27" s="93">
        <v>362.79</v>
      </c>
      <c r="C27" s="93">
        <v>362.79</v>
      </c>
      <c r="D27" s="93">
        <v>0</v>
      </c>
      <c r="E27" s="93">
        <v>362.79</v>
      </c>
      <c r="G27" s="93">
        <f t="shared" si="5"/>
        <v>1088.3700000000001</v>
      </c>
    </row>
    <row r="28" spans="1:7" s="93" customFormat="1" x14ac:dyDescent="0.25">
      <c r="A28" t="s">
        <v>401</v>
      </c>
      <c r="B28" s="93">
        <v>131.22999999999999</v>
      </c>
      <c r="C28" s="93">
        <v>131.22999999999999</v>
      </c>
      <c r="D28" s="93">
        <v>131.13</v>
      </c>
      <c r="E28" s="93">
        <v>131.22999999999999</v>
      </c>
      <c r="G28" s="93">
        <f t="shared" si="5"/>
        <v>524.81999999999994</v>
      </c>
    </row>
    <row r="29" spans="1:7" s="93" customFormat="1" x14ac:dyDescent="0.25">
      <c r="A29" t="s">
        <v>373</v>
      </c>
      <c r="B29" s="93">
        <v>450</v>
      </c>
      <c r="C29" s="93">
        <v>450</v>
      </c>
      <c r="D29" s="93">
        <v>450</v>
      </c>
      <c r="E29" s="93">
        <v>450</v>
      </c>
      <c r="G29" s="93">
        <f t="shared" si="5"/>
        <v>1800</v>
      </c>
    </row>
    <row r="30" spans="1:7" s="93" customFormat="1" x14ac:dyDescent="0.25">
      <c r="A30" t="s">
        <v>326</v>
      </c>
      <c r="B30" s="93">
        <v>0</v>
      </c>
      <c r="C30" s="93">
        <v>0</v>
      </c>
      <c r="D30" s="93">
        <v>0</v>
      </c>
      <c r="E30" s="93">
        <v>0</v>
      </c>
      <c r="G30" s="93">
        <f t="shared" si="5"/>
        <v>0</v>
      </c>
    </row>
    <row r="31" spans="1:7" s="93" customFormat="1" x14ac:dyDescent="0.25">
      <c r="A31" t="s">
        <v>400</v>
      </c>
      <c r="B31" s="93">
        <v>5210</v>
      </c>
      <c r="C31" s="93">
        <v>11813</v>
      </c>
      <c r="D31" s="93">
        <v>16429</v>
      </c>
      <c r="E31" s="93">
        <v>6337</v>
      </c>
      <c r="G31" s="93">
        <f t="shared" si="5"/>
        <v>39789</v>
      </c>
    </row>
    <row r="32" spans="1:7" s="93" customFormat="1" x14ac:dyDescent="0.25">
      <c r="A32" s="68" t="s">
        <v>266</v>
      </c>
      <c r="B32" s="130">
        <f>SUM(B24:B31)</f>
        <v>24797.280000000002</v>
      </c>
      <c r="C32" s="130">
        <f t="shared" ref="C32:G32" si="6">SUM(C24:C31)</f>
        <v>44617.429999999993</v>
      </c>
      <c r="D32" s="130">
        <f t="shared" si="6"/>
        <v>60507.959999999992</v>
      </c>
      <c r="E32" s="130">
        <f t="shared" si="6"/>
        <v>35574.94</v>
      </c>
      <c r="F32" s="130">
        <f t="shared" ref="F32" si="7">SUM(F24:F31)</f>
        <v>0</v>
      </c>
      <c r="G32" s="130">
        <f t="shared" si="6"/>
        <v>165497.60999999999</v>
      </c>
    </row>
    <row r="33" spans="1:7" s="93" customFormat="1" x14ac:dyDescent="0.25">
      <c r="A33" t="s">
        <v>62</v>
      </c>
    </row>
    <row r="34" spans="1:7" s="93" customFormat="1" x14ac:dyDescent="0.25">
      <c r="A34" s="68" t="s">
        <v>327</v>
      </c>
    </row>
    <row r="35" spans="1:7" s="93" customFormat="1" x14ac:dyDescent="0.25">
      <c r="A35" t="s">
        <v>268</v>
      </c>
      <c r="B35" s="93">
        <v>1000</v>
      </c>
      <c r="C35" s="93">
        <v>1000</v>
      </c>
      <c r="D35" s="93">
        <v>1000</v>
      </c>
      <c r="E35" s="93">
        <v>1000</v>
      </c>
      <c r="G35" s="93">
        <f>SUM(B35:F35)</f>
        <v>4000</v>
      </c>
    </row>
    <row r="36" spans="1:7" s="93" customFormat="1" x14ac:dyDescent="0.25">
      <c r="A36" t="s">
        <v>270</v>
      </c>
      <c r="B36" s="93">
        <v>18970.560000000001</v>
      </c>
      <c r="C36" s="93">
        <v>2008.94</v>
      </c>
      <c r="D36" s="93">
        <v>22275.65</v>
      </c>
      <c r="E36" s="93">
        <v>11359.93</v>
      </c>
      <c r="G36" s="93">
        <f t="shared" ref="G36:G54" si="8">SUM(B36:F36)</f>
        <v>54615.08</v>
      </c>
    </row>
    <row r="37" spans="1:7" s="93" customFormat="1" x14ac:dyDescent="0.25">
      <c r="A37" t="s">
        <v>269</v>
      </c>
      <c r="B37" s="93">
        <v>883.5</v>
      </c>
      <c r="C37" s="93">
        <v>864.5</v>
      </c>
      <c r="D37" s="93">
        <v>800</v>
      </c>
      <c r="E37" s="93">
        <v>739.5</v>
      </c>
      <c r="G37" s="93">
        <f t="shared" si="8"/>
        <v>3287.5</v>
      </c>
    </row>
    <row r="38" spans="1:7" s="93" customFormat="1" x14ac:dyDescent="0.25">
      <c r="A38" t="s">
        <v>379</v>
      </c>
      <c r="B38" s="93">
        <v>233.88</v>
      </c>
      <c r="C38" s="93">
        <v>0</v>
      </c>
      <c r="D38" s="93">
        <v>0</v>
      </c>
      <c r="E38" s="93">
        <v>0</v>
      </c>
      <c r="G38" s="93">
        <f t="shared" si="8"/>
        <v>233.88</v>
      </c>
    </row>
    <row r="39" spans="1:7" s="93" customFormat="1" x14ac:dyDescent="0.25">
      <c r="A39" t="s">
        <v>329</v>
      </c>
      <c r="B39" s="93">
        <v>624.76</v>
      </c>
      <c r="C39" s="93">
        <v>504.76</v>
      </c>
      <c r="D39" s="93">
        <v>624.76</v>
      </c>
      <c r="E39" s="93">
        <v>624.76</v>
      </c>
      <c r="G39" s="93">
        <f t="shared" si="8"/>
        <v>2379.04</v>
      </c>
    </row>
    <row r="40" spans="1:7" s="93" customFormat="1" x14ac:dyDescent="0.25">
      <c r="A40" t="s">
        <v>271</v>
      </c>
      <c r="B40" s="93">
        <v>0</v>
      </c>
      <c r="C40" s="93">
        <v>0</v>
      </c>
      <c r="D40" s="93">
        <v>0</v>
      </c>
      <c r="E40" s="93">
        <v>0</v>
      </c>
      <c r="G40" s="93">
        <f t="shared" si="8"/>
        <v>0</v>
      </c>
    </row>
    <row r="41" spans="1:7" s="93" customFormat="1" x14ac:dyDescent="0.25">
      <c r="A41" t="s">
        <v>403</v>
      </c>
      <c r="B41" s="93">
        <v>990</v>
      </c>
      <c r="C41" s="93">
        <v>399.19</v>
      </c>
      <c r="D41" s="93">
        <f>292.3+700.49</f>
        <v>992.79</v>
      </c>
      <c r="E41" s="93">
        <v>0</v>
      </c>
      <c r="G41" s="93">
        <f t="shared" si="8"/>
        <v>2381.98</v>
      </c>
    </row>
    <row r="42" spans="1:7" s="93" customFormat="1" x14ac:dyDescent="0.25">
      <c r="A42" t="s">
        <v>404</v>
      </c>
      <c r="B42" s="93">
        <v>1367.42</v>
      </c>
      <c r="C42" s="93">
        <v>0</v>
      </c>
      <c r="D42" s="93">
        <v>573.99</v>
      </c>
      <c r="E42" s="93">
        <v>425.44</v>
      </c>
      <c r="G42" s="93">
        <f t="shared" si="8"/>
        <v>2366.85</v>
      </c>
    </row>
    <row r="43" spans="1:7" s="93" customFormat="1" x14ac:dyDescent="0.25">
      <c r="A43" t="s">
        <v>405</v>
      </c>
      <c r="B43" s="93">
        <f>103.4+4531.26</f>
        <v>4634.66</v>
      </c>
      <c r="C43" s="93">
        <f>106.4+1356.39</f>
        <v>1462.7900000000002</v>
      </c>
      <c r="D43" s="93">
        <f>106.4+1345.43</f>
        <v>1451.8300000000002</v>
      </c>
      <c r="E43" s="93">
        <f>106.4+873.33</f>
        <v>979.73</v>
      </c>
      <c r="G43" s="93">
        <f t="shared" si="8"/>
        <v>8529.01</v>
      </c>
    </row>
    <row r="44" spans="1:7" s="93" customFormat="1" x14ac:dyDescent="0.25">
      <c r="A44" t="s">
        <v>274</v>
      </c>
      <c r="B44" s="93">
        <v>0</v>
      </c>
      <c r="C44" s="93">
        <v>0</v>
      </c>
      <c r="D44" s="93">
        <v>0</v>
      </c>
      <c r="E44" s="93">
        <v>233.66</v>
      </c>
      <c r="G44" s="93">
        <f t="shared" si="8"/>
        <v>233.66</v>
      </c>
    </row>
    <row r="45" spans="1:7" s="93" customFormat="1" x14ac:dyDescent="0.25">
      <c r="A45" t="s">
        <v>275</v>
      </c>
      <c r="B45" s="93">
        <v>0</v>
      </c>
      <c r="C45" s="93">
        <v>0</v>
      </c>
      <c r="D45" s="93">
        <v>0</v>
      </c>
      <c r="E45" s="93">
        <v>0</v>
      </c>
      <c r="G45" s="93">
        <f t="shared" si="8"/>
        <v>0</v>
      </c>
    </row>
    <row r="46" spans="1:7" s="93" customFormat="1" x14ac:dyDescent="0.25">
      <c r="A46" t="s">
        <v>273</v>
      </c>
      <c r="B46" s="93">
        <v>2424</v>
      </c>
      <c r="C46" s="93">
        <v>2424</v>
      </c>
      <c r="D46" s="93">
        <v>2424</v>
      </c>
      <c r="E46" s="93">
        <v>2424</v>
      </c>
      <c r="G46" s="93">
        <f t="shared" si="8"/>
        <v>9696</v>
      </c>
    </row>
    <row r="47" spans="1:7" s="93" customFormat="1" x14ac:dyDescent="0.25">
      <c r="A47" t="s">
        <v>402</v>
      </c>
      <c r="B47" s="93">
        <v>109</v>
      </c>
      <c r="C47" s="93">
        <v>0</v>
      </c>
      <c r="D47" s="93">
        <v>456</v>
      </c>
      <c r="E47" s="93">
        <v>0</v>
      </c>
      <c r="G47" s="93">
        <f t="shared" si="8"/>
        <v>565</v>
      </c>
    </row>
    <row r="48" spans="1:7" s="93" customFormat="1" x14ac:dyDescent="0.25">
      <c r="A48" t="s">
        <v>418</v>
      </c>
      <c r="B48" s="93">
        <v>0</v>
      </c>
      <c r="C48" s="93">
        <v>0</v>
      </c>
      <c r="D48" s="93">
        <v>803.9</v>
      </c>
      <c r="E48" s="93">
        <v>0</v>
      </c>
      <c r="G48" s="93">
        <f t="shared" si="8"/>
        <v>803.9</v>
      </c>
    </row>
    <row r="49" spans="1:7" s="93" customFormat="1" x14ac:dyDescent="0.25">
      <c r="A49" t="s">
        <v>276</v>
      </c>
      <c r="B49" s="93">
        <v>491.08</v>
      </c>
      <c r="C49" s="93">
        <v>758.32</v>
      </c>
      <c r="D49" s="93">
        <v>0</v>
      </c>
      <c r="E49" s="93">
        <v>168.11</v>
      </c>
      <c r="G49" s="93">
        <f t="shared" si="8"/>
        <v>1417.5100000000002</v>
      </c>
    </row>
    <row r="50" spans="1:7" s="93" customFormat="1" x14ac:dyDescent="0.25">
      <c r="A50" t="s">
        <v>283</v>
      </c>
      <c r="B50" s="93">
        <v>0</v>
      </c>
      <c r="C50" s="93">
        <v>0</v>
      </c>
      <c r="D50" s="93">
        <v>0</v>
      </c>
      <c r="E50" s="93">
        <v>0</v>
      </c>
      <c r="G50" s="93">
        <f t="shared" si="8"/>
        <v>0</v>
      </c>
    </row>
    <row r="51" spans="1:7" s="93" customFormat="1" x14ac:dyDescent="0.25">
      <c r="A51" t="s">
        <v>277</v>
      </c>
      <c r="B51" s="93">
        <v>0</v>
      </c>
      <c r="C51" s="93">
        <v>0</v>
      </c>
      <c r="D51" s="93">
        <v>0</v>
      </c>
      <c r="E51" s="93">
        <v>0</v>
      </c>
      <c r="G51" s="93">
        <f t="shared" si="8"/>
        <v>0</v>
      </c>
    </row>
    <row r="52" spans="1:7" s="93" customFormat="1" x14ac:dyDescent="0.25">
      <c r="A52" t="s">
        <v>331</v>
      </c>
      <c r="B52" s="93">
        <v>9382.49</v>
      </c>
      <c r="C52" s="93">
        <v>9382.09</v>
      </c>
      <c r="D52" s="93">
        <v>9382.09</v>
      </c>
      <c r="E52" s="93">
        <v>9382.09</v>
      </c>
      <c r="G52" s="93">
        <f t="shared" si="8"/>
        <v>37528.76</v>
      </c>
    </row>
    <row r="53" spans="1:7" s="93" customFormat="1" x14ac:dyDescent="0.25">
      <c r="A53" t="s">
        <v>334</v>
      </c>
      <c r="B53" s="93">
        <v>0</v>
      </c>
      <c r="C53" s="93">
        <v>0</v>
      </c>
      <c r="D53" s="93">
        <v>0</v>
      </c>
      <c r="E53" s="93">
        <v>0</v>
      </c>
      <c r="G53" s="93">
        <f t="shared" si="8"/>
        <v>0</v>
      </c>
    </row>
    <row r="54" spans="1:7" s="93" customFormat="1" x14ac:dyDescent="0.25">
      <c r="A54" t="s">
        <v>415</v>
      </c>
      <c r="B54" s="93">
        <v>0</v>
      </c>
      <c r="C54" s="93">
        <v>2048</v>
      </c>
      <c r="D54" s="93">
        <v>0</v>
      </c>
      <c r="E54" s="93">
        <v>324.79000000000002</v>
      </c>
      <c r="G54" s="93">
        <f t="shared" si="8"/>
        <v>2372.79</v>
      </c>
    </row>
    <row r="55" spans="1:7" s="93" customFormat="1" x14ac:dyDescent="0.25">
      <c r="A55" t="s">
        <v>416</v>
      </c>
      <c r="B55" s="93">
        <v>1140.8399999999999</v>
      </c>
      <c r="C55" s="93">
        <v>925.84</v>
      </c>
      <c r="D55" s="93">
        <v>0</v>
      </c>
      <c r="E55" s="93">
        <v>795.42</v>
      </c>
      <c r="G55" s="93">
        <f>SUM(B55:F55)</f>
        <v>2862.1</v>
      </c>
    </row>
    <row r="56" spans="1:7" s="93" customFormat="1" x14ac:dyDescent="0.25">
      <c r="A56" s="68" t="s">
        <v>375</v>
      </c>
      <c r="B56" s="130">
        <f t="shared" ref="B56:G56" si="9">SUM(B35:B55)</f>
        <v>42252.19</v>
      </c>
      <c r="C56" s="130">
        <f t="shared" si="9"/>
        <v>21778.43</v>
      </c>
      <c r="D56" s="130">
        <f t="shared" si="9"/>
        <v>40785.010000000009</v>
      </c>
      <c r="E56" s="130">
        <f t="shared" si="9"/>
        <v>28457.43</v>
      </c>
      <c r="F56" s="130">
        <f t="shared" si="9"/>
        <v>0</v>
      </c>
      <c r="G56" s="130">
        <f t="shared" si="9"/>
        <v>133273.05999999997</v>
      </c>
    </row>
    <row r="58" spans="1:7" s="93" customFormat="1" x14ac:dyDescent="0.25">
      <c r="A58" s="68" t="s">
        <v>332</v>
      </c>
    </row>
    <row r="59" spans="1:7" s="93" customFormat="1" x14ac:dyDescent="0.25">
      <c r="A59" t="s">
        <v>286</v>
      </c>
      <c r="B59" s="93">
        <v>312.36</v>
      </c>
      <c r="C59" s="93">
        <v>716.18</v>
      </c>
      <c r="D59" s="93">
        <v>449.5</v>
      </c>
      <c r="E59" s="93">
        <v>269.7</v>
      </c>
      <c r="G59" s="93">
        <f>SUM(B59:F59)</f>
        <v>1747.74</v>
      </c>
    </row>
    <row r="60" spans="1:7" s="93" customFormat="1" ht="14.25" customHeight="1" x14ac:dyDescent="0.25">
      <c r="A60" t="s">
        <v>287</v>
      </c>
      <c r="B60" s="93">
        <v>695.17</v>
      </c>
      <c r="C60" s="93">
        <v>459.08</v>
      </c>
      <c r="D60" s="93">
        <v>395.17</v>
      </c>
      <c r="E60" s="93">
        <v>502.1</v>
      </c>
      <c r="G60" s="93">
        <f t="shared" ref="G60:G69" si="10">SUM(B60:F60)</f>
        <v>2051.52</v>
      </c>
    </row>
    <row r="61" spans="1:7" s="93" customFormat="1" ht="14.25" customHeight="1" x14ac:dyDescent="0.25">
      <c r="A61" t="s">
        <v>409</v>
      </c>
      <c r="B61" s="93">
        <v>485.42</v>
      </c>
      <c r="C61" s="93">
        <v>636.49</v>
      </c>
      <c r="D61" s="93">
        <v>407.96</v>
      </c>
      <c r="E61" s="93">
        <v>543.39</v>
      </c>
      <c r="G61" s="93">
        <f t="shared" si="10"/>
        <v>2073.2600000000002</v>
      </c>
    </row>
    <row r="62" spans="1:7" s="93" customFormat="1" x14ac:dyDescent="0.25">
      <c r="A62" t="s">
        <v>333</v>
      </c>
      <c r="B62" s="93">
        <v>0</v>
      </c>
      <c r="C62" s="93">
        <v>200</v>
      </c>
      <c r="D62" s="93">
        <v>250</v>
      </c>
      <c r="E62" s="93">
        <v>300</v>
      </c>
      <c r="G62" s="93">
        <f t="shared" si="10"/>
        <v>750</v>
      </c>
    </row>
    <row r="63" spans="1:7" s="93" customFormat="1" x14ac:dyDescent="0.25">
      <c r="A63" t="s">
        <v>345</v>
      </c>
      <c r="B63" s="93">
        <v>265.62</v>
      </c>
      <c r="C63" s="93">
        <v>265.62</v>
      </c>
      <c r="D63" s="93">
        <v>0</v>
      </c>
      <c r="E63" s="93">
        <v>132.81</v>
      </c>
      <c r="G63" s="93">
        <f t="shared" si="10"/>
        <v>664.05</v>
      </c>
    </row>
    <row r="64" spans="1:7" s="93" customFormat="1" x14ac:dyDescent="0.25">
      <c r="A64" t="s">
        <v>417</v>
      </c>
      <c r="B64" s="93">
        <v>0</v>
      </c>
      <c r="C64" s="93">
        <v>7242.01</v>
      </c>
      <c r="D64" s="93">
        <v>0</v>
      </c>
      <c r="E64" s="93">
        <v>3087.89</v>
      </c>
      <c r="G64" s="93">
        <f t="shared" si="10"/>
        <v>10329.9</v>
      </c>
    </row>
    <row r="65" spans="1:7" s="93" customFormat="1" x14ac:dyDescent="0.25">
      <c r="A65" t="s">
        <v>288</v>
      </c>
      <c r="B65" s="93">
        <v>792.59</v>
      </c>
      <c r="C65" s="93">
        <v>18.940000000000001</v>
      </c>
      <c r="D65" s="93">
        <v>0</v>
      </c>
      <c r="E65" s="93">
        <v>164.03</v>
      </c>
      <c r="G65" s="93">
        <f t="shared" si="10"/>
        <v>975.56000000000006</v>
      </c>
    </row>
    <row r="66" spans="1:7" s="93" customFormat="1" x14ac:dyDescent="0.25">
      <c r="A66" t="s">
        <v>406</v>
      </c>
      <c r="B66" s="93">
        <v>550</v>
      </c>
      <c r="C66" s="93">
        <v>550</v>
      </c>
      <c r="D66" s="93">
        <v>550</v>
      </c>
      <c r="E66" s="93">
        <v>550</v>
      </c>
      <c r="G66" s="93">
        <f t="shared" si="10"/>
        <v>2200</v>
      </c>
    </row>
    <row r="67" spans="1:7" s="93" customFormat="1" x14ac:dyDescent="0.25">
      <c r="A67" t="s">
        <v>407</v>
      </c>
      <c r="B67" s="93">
        <v>1500</v>
      </c>
      <c r="C67" s="93">
        <v>1500</v>
      </c>
      <c r="D67" s="93">
        <v>1500</v>
      </c>
      <c r="E67" s="93">
        <v>1500</v>
      </c>
      <c r="G67" s="93">
        <f t="shared" si="10"/>
        <v>6000</v>
      </c>
    </row>
    <row r="68" spans="1:7" s="93" customFormat="1" x14ac:dyDescent="0.25">
      <c r="A68" t="s">
        <v>408</v>
      </c>
      <c r="B68" s="93">
        <v>0</v>
      </c>
      <c r="C68" s="93">
        <v>0</v>
      </c>
      <c r="D68" s="93">
        <v>0</v>
      </c>
      <c r="E68" s="93">
        <v>0</v>
      </c>
      <c r="G68" s="93">
        <f t="shared" si="10"/>
        <v>0</v>
      </c>
    </row>
    <row r="69" spans="1:7" s="93" customFormat="1" x14ac:dyDescent="0.25">
      <c r="A69" t="s">
        <v>292</v>
      </c>
      <c r="B69" s="93">
        <v>0</v>
      </c>
      <c r="C69" s="93">
        <v>0</v>
      </c>
      <c r="D69" s="93">
        <v>0</v>
      </c>
      <c r="E69" s="93">
        <v>0</v>
      </c>
      <c r="G69" s="93">
        <f t="shared" si="10"/>
        <v>0</v>
      </c>
    </row>
    <row r="70" spans="1:7" s="93" customFormat="1" x14ac:dyDescent="0.25">
      <c r="A70" s="68" t="s">
        <v>335</v>
      </c>
      <c r="B70" s="130">
        <f>SUM(B59:B69)</f>
        <v>4601.16</v>
      </c>
      <c r="C70" s="130">
        <f t="shared" ref="C70:G70" si="11">SUM(C59:C69)</f>
        <v>11588.320000000002</v>
      </c>
      <c r="D70" s="130">
        <f t="shared" si="11"/>
        <v>3552.63</v>
      </c>
      <c r="E70" s="130">
        <f t="shared" si="11"/>
        <v>7049.9199999999992</v>
      </c>
      <c r="F70" s="130">
        <f t="shared" ref="F70" si="12">SUM(F59:F69)</f>
        <v>0</v>
      </c>
      <c r="G70" s="130">
        <f t="shared" si="11"/>
        <v>26792.030000000002</v>
      </c>
    </row>
    <row r="71" spans="1:7" s="93" customFormat="1" x14ac:dyDescent="0.25">
      <c r="A71" t="s">
        <v>280</v>
      </c>
    </row>
    <row r="72" spans="1:7" s="93" customFormat="1" ht="15.75" thickBot="1" x14ac:dyDescent="0.3">
      <c r="A72" s="68" t="s">
        <v>242</v>
      </c>
      <c r="B72" s="131">
        <f t="shared" ref="B72:G72" si="13">B32+B56+B70</f>
        <v>71650.63</v>
      </c>
      <c r="C72" s="131">
        <f t="shared" si="13"/>
        <v>77984.179999999993</v>
      </c>
      <c r="D72" s="131">
        <f t="shared" si="13"/>
        <v>104845.6</v>
      </c>
      <c r="E72" s="131">
        <f t="shared" si="13"/>
        <v>71082.290000000008</v>
      </c>
      <c r="F72" s="131">
        <f t="shared" si="13"/>
        <v>0</v>
      </c>
      <c r="G72" s="131">
        <f t="shared" si="13"/>
        <v>325562.69999999995</v>
      </c>
    </row>
    <row r="74" spans="1:7" s="93" customFormat="1" x14ac:dyDescent="0.25">
      <c r="A74" s="68" t="s">
        <v>336</v>
      </c>
    </row>
    <row r="75" spans="1:7" s="93" customFormat="1" x14ac:dyDescent="0.25">
      <c r="A75" t="s">
        <v>411</v>
      </c>
      <c r="B75" s="93">
        <v>5000</v>
      </c>
      <c r="C75" s="93">
        <v>5000</v>
      </c>
      <c r="D75" s="93">
        <v>5000</v>
      </c>
      <c r="E75" s="93">
        <v>5000</v>
      </c>
      <c r="G75" s="93">
        <f>SUM(B75:F75)</f>
        <v>20000</v>
      </c>
    </row>
    <row r="76" spans="1:7" s="93" customFormat="1" x14ac:dyDescent="0.25">
      <c r="A76" t="s">
        <v>410</v>
      </c>
      <c r="B76" s="93">
        <v>1000</v>
      </c>
      <c r="C76" s="93">
        <v>1000</v>
      </c>
      <c r="D76" s="93">
        <v>1000</v>
      </c>
      <c r="E76" s="93">
        <v>1000</v>
      </c>
      <c r="G76" s="93">
        <f t="shared" ref="G76:G79" si="14">SUM(B76:F76)</f>
        <v>4000</v>
      </c>
    </row>
    <row r="77" spans="1:7" s="93" customFormat="1" x14ac:dyDescent="0.25">
      <c r="A77" t="s">
        <v>412</v>
      </c>
      <c r="B77" s="93">
        <v>1833.08</v>
      </c>
      <c r="C77" s="93">
        <v>0</v>
      </c>
      <c r="D77" s="93">
        <v>0</v>
      </c>
      <c r="E77" s="93">
        <v>0</v>
      </c>
      <c r="G77" s="93">
        <f t="shared" si="14"/>
        <v>1833.08</v>
      </c>
    </row>
    <row r="78" spans="1:7" s="93" customFormat="1" x14ac:dyDescent="0.25">
      <c r="A78" t="s">
        <v>413</v>
      </c>
      <c r="B78" s="93">
        <v>-3691.03</v>
      </c>
      <c r="C78" s="93">
        <v>-3673.36</v>
      </c>
      <c r="D78" s="93">
        <v>-3655.63</v>
      </c>
      <c r="E78" s="93">
        <v>-3637.86</v>
      </c>
      <c r="G78" s="93">
        <f t="shared" si="14"/>
        <v>-14657.880000000001</v>
      </c>
    </row>
    <row r="79" spans="1:7" s="93" customFormat="1" x14ac:dyDescent="0.25">
      <c r="A79" t="s">
        <v>414</v>
      </c>
      <c r="B79" s="93">
        <v>-6058.71</v>
      </c>
      <c r="C79" s="93">
        <v>-6058.71</v>
      </c>
      <c r="D79" s="93">
        <v>-6058.71</v>
      </c>
      <c r="E79" s="93">
        <v>-6058.71</v>
      </c>
      <c r="G79" s="93">
        <f t="shared" si="14"/>
        <v>-24234.84</v>
      </c>
    </row>
    <row r="80" spans="1:7" x14ac:dyDescent="0.25">
      <c r="A80" s="68" t="s">
        <v>338</v>
      </c>
      <c r="B80" s="130">
        <f t="shared" ref="B80:G80" si="15">SUM(B75:B79)</f>
        <v>-1916.6600000000008</v>
      </c>
      <c r="C80" s="130">
        <f t="shared" si="15"/>
        <v>-3732.07</v>
      </c>
      <c r="D80" s="130">
        <f t="shared" si="15"/>
        <v>-3714.34</v>
      </c>
      <c r="E80" s="130">
        <f t="shared" si="15"/>
        <v>-3696.57</v>
      </c>
      <c r="F80" s="130">
        <f t="shared" si="15"/>
        <v>0</v>
      </c>
      <c r="G80" s="130">
        <f t="shared" si="15"/>
        <v>-13059.64</v>
      </c>
    </row>
    <row r="82" spans="1:8" ht="15.75" thickBot="1" x14ac:dyDescent="0.3">
      <c r="A82" s="68" t="s">
        <v>339</v>
      </c>
      <c r="B82" s="132">
        <f t="shared" ref="B82:G82" si="16">B20-B72+B80</f>
        <v>68714.159999999974</v>
      </c>
      <c r="C82" s="132">
        <f t="shared" si="16"/>
        <v>49639.879999999983</v>
      </c>
      <c r="D82" s="132">
        <f t="shared" si="16"/>
        <v>16021.919999999995</v>
      </c>
      <c r="E82" s="132">
        <f t="shared" si="16"/>
        <v>2856.3099999999899</v>
      </c>
      <c r="F82" s="132">
        <f t="shared" si="16"/>
        <v>0</v>
      </c>
      <c r="G82" s="132">
        <f t="shared" si="16"/>
        <v>137232.27000000008</v>
      </c>
      <c r="H82"/>
    </row>
    <row r="83" spans="1:8" ht="15.75" thickTop="1" x14ac:dyDescent="0.25"/>
  </sheetData>
  <mergeCells count="3">
    <mergeCell ref="A1:G1"/>
    <mergeCell ref="A2:G2"/>
    <mergeCell ref="A3:G3"/>
  </mergeCells>
  <pageMargins left="0.7" right="0.7" top="0.75" bottom="0.75" header="0.3" footer="0.3"/>
  <pageSetup scale="81" orientation="portrait" r:id="rId1"/>
  <rowBreaks count="1" manualBreakCount="1">
    <brk id="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EF28-468D-4192-A4A0-80B488E949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Summary YTD 04.30.18</vt:lpstr>
      <vt:lpstr>Comparative YTD 2018-2017 April</vt:lpstr>
      <vt:lpstr>CNT (from FS Analysis)</vt:lpstr>
      <vt:lpstr>CNT (G.P. by Metal)</vt:lpstr>
      <vt:lpstr>DEP</vt:lpstr>
      <vt:lpstr>BPM</vt:lpstr>
      <vt:lpstr>Lending</vt:lpstr>
      <vt:lpstr>BSC (Dome)</vt:lpstr>
      <vt:lpstr>Sheet1</vt:lpstr>
      <vt:lpstr>'CNT (from FS Analysis)'!Print_Area</vt:lpstr>
      <vt:lpstr>'CNT (G.P. by Metal)'!Print_Area</vt:lpstr>
      <vt:lpstr>'Comparative YTD 2018-2017 April'!Print_Area</vt:lpstr>
      <vt:lpstr>'CNT (from FS Analysis)'!Print_Titles</vt:lpstr>
      <vt:lpstr>'Comparative YTD 2018-2017 April'!Print_Titles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Accounting User</cp:lastModifiedBy>
  <cp:lastPrinted>2018-05-30T21:00:08Z</cp:lastPrinted>
  <dcterms:created xsi:type="dcterms:W3CDTF">2018-05-13T15:03:39Z</dcterms:created>
  <dcterms:modified xsi:type="dcterms:W3CDTF">2018-09-27T12:36:40Z</dcterms:modified>
</cp:coreProperties>
</file>