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225F4176-3E89-40A3-803B-94CA5D0C3350}" xr6:coauthVersionLast="38" xr6:coauthVersionMax="38" xr10:uidLastSave="{00000000-0000-0000-0000-000000000000}"/>
  <bookViews>
    <workbookView xWindow="0" yWindow="0" windowWidth="19200" windowHeight="7620" tabRatio="906" activeTab="2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10.31.17" sheetId="4" r:id="rId10"/>
    <sheet name="BPM 10.31.17" sheetId="5" r:id="rId11"/>
    <sheet name="DEP 10.31.17" sheetId="6" r:id="rId12"/>
    <sheet name="BSC 10.31.17" sheetId="9" r:id="rId13"/>
    <sheet name="Oliari Co 10.31.17" sheetId="10" r:id="rId14"/>
    <sheet name="722 Bedford St 10.31.17" sheetId="15" r:id="rId15"/>
    <sheet name="CNT Lending 10.31.17" sheetId="16" r:id="rId16"/>
  </sheets>
  <externalReferences>
    <externalReference r:id="rId17"/>
    <externalReference r:id="rId18"/>
  </externalReferences>
  <definedNames>
    <definedName name="_xlnm.Print_Area" localSheetId="8">'722 Bedford St'!$A$1:$F$55</definedName>
    <definedName name="_xlnm.Print_Area" localSheetId="1">'Consolidated Balance Sheet'!$A$5:$AP$121</definedName>
    <definedName name="_xlnm.Print_Area" localSheetId="0">'Consolidated Summary Balance  '!$A$8:$AP$58</definedName>
    <definedName name="_xlnm.Print_Titles" localSheetId="1">'Consolidated Balance Sheet'!$1:$4</definedName>
    <definedName name="_xlnm.Print_Titles" localSheetId="0">'Consolidated Summary Balance  '!$4:$7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20" i="1" l="1"/>
  <c r="S38" i="1"/>
  <c r="J130" i="7" l="1"/>
  <c r="B37" i="12" l="1"/>
  <c r="D129" i="7" l="1"/>
  <c r="D130" i="7"/>
  <c r="B130" i="7"/>
  <c r="N137" i="7" l="1"/>
  <c r="L137" i="7"/>
  <c r="J137" i="7"/>
  <c r="H137" i="7"/>
  <c r="F137" i="7"/>
  <c r="D137" i="7"/>
  <c r="B137" i="7"/>
  <c r="B70" i="7" l="1"/>
  <c r="AP92" i="7"/>
  <c r="AF92" i="7"/>
  <c r="AJ92" i="7" s="1"/>
  <c r="B92" i="7"/>
  <c r="P92" i="7" s="1"/>
  <c r="AH92" i="7" s="1"/>
  <c r="AL92" i="7" s="1"/>
  <c r="B37" i="7"/>
  <c r="P37" i="7" s="1"/>
  <c r="AH37" i="7" s="1"/>
  <c r="AF37" i="7"/>
  <c r="AJ37" i="7" s="1"/>
  <c r="B11" i="7"/>
  <c r="B129" i="7" s="1"/>
  <c r="B22" i="7"/>
  <c r="B7" i="7"/>
  <c r="U52" i="1"/>
  <c r="AA52" i="1" s="1"/>
  <c r="U127" i="1"/>
  <c r="U105" i="1"/>
  <c r="AN37" i="7" l="1"/>
  <c r="AP37" i="7" s="1"/>
  <c r="AL37" i="7"/>
  <c r="F11" i="7"/>
  <c r="S32" i="3"/>
  <c r="D78" i="7" l="1"/>
  <c r="L118" i="7" l="1"/>
  <c r="L117" i="7"/>
  <c r="L116" i="7"/>
  <c r="N90" i="7" l="1"/>
  <c r="N52" i="7"/>
  <c r="E29" i="14"/>
  <c r="C129" i="7" l="1"/>
  <c r="E129" i="7"/>
  <c r="G129" i="7"/>
  <c r="H129" i="7"/>
  <c r="I129" i="7"/>
  <c r="J129" i="7"/>
  <c r="K129" i="7"/>
  <c r="M129" i="7"/>
  <c r="C130" i="7"/>
  <c r="E130" i="7"/>
  <c r="G130" i="7"/>
  <c r="I130" i="7"/>
  <c r="K130" i="7"/>
  <c r="L130" i="7"/>
  <c r="M130" i="7"/>
  <c r="D90" i="7"/>
  <c r="V54" i="12" l="1"/>
  <c r="R54" i="12"/>
  <c r="Z54" i="7"/>
  <c r="T17" i="7"/>
  <c r="U83" i="4"/>
  <c r="D65" i="7" l="1"/>
  <c r="D67" i="7"/>
  <c r="D73" i="7"/>
  <c r="U47" i="2" l="1"/>
  <c r="B90" i="7" l="1"/>
  <c r="N11" i="7" l="1"/>
  <c r="N129" i="7" s="1"/>
  <c r="H90" i="7"/>
  <c r="H130" i="7" s="1"/>
  <c r="F129" i="7"/>
  <c r="V109" i="7" l="1"/>
  <c r="V110" i="7"/>
  <c r="F37" i="17" l="1"/>
  <c r="E15" i="14"/>
  <c r="V111" i="7" l="1"/>
  <c r="R111" i="7"/>
  <c r="F111" i="7"/>
  <c r="U18" i="3" l="1"/>
  <c r="H35" i="7"/>
  <c r="H38" i="7"/>
  <c r="F22" i="17"/>
  <c r="B27" i="7" l="1"/>
  <c r="S57" i="1" l="1"/>
  <c r="S58" i="1"/>
  <c r="S59" i="1"/>
  <c r="S60" i="1"/>
  <c r="S61" i="1"/>
  <c r="S63" i="1"/>
  <c r="S64" i="1"/>
  <c r="S65" i="1"/>
  <c r="S67" i="1"/>
  <c r="S56" i="1"/>
  <c r="F28" i="16" l="1"/>
  <c r="F13" i="16"/>
  <c r="AP25" i="7" l="1"/>
  <c r="AP28" i="7"/>
  <c r="AP27" i="7"/>
  <c r="AP26" i="7"/>
  <c r="AF28" i="7"/>
  <c r="AJ28" i="7" s="1"/>
  <c r="V29" i="7"/>
  <c r="P28" i="7"/>
  <c r="AH28" i="7" s="1"/>
  <c r="AL28" i="7" l="1"/>
  <c r="F90" i="7"/>
  <c r="F130" i="7" s="1"/>
  <c r="U45" i="3"/>
  <c r="U46" i="3" s="1"/>
  <c r="F39" i="16" l="1"/>
  <c r="F33" i="16"/>
  <c r="F34" i="16" s="1"/>
  <c r="F35" i="16" s="1"/>
  <c r="F16" i="16"/>
  <c r="F20" i="16"/>
  <c r="T38" i="7"/>
  <c r="T11" i="7"/>
  <c r="T14" i="12" s="1"/>
  <c r="U20" i="5"/>
  <c r="N14" i="12"/>
  <c r="L109" i="7"/>
  <c r="AF54" i="12"/>
  <c r="N54" i="12"/>
  <c r="L54" i="12"/>
  <c r="J54" i="12"/>
  <c r="H54" i="12"/>
  <c r="F54" i="12"/>
  <c r="D54" i="12"/>
  <c r="K54" i="12"/>
  <c r="I54" i="12"/>
  <c r="G54" i="12"/>
  <c r="E54" i="12"/>
  <c r="C54" i="12"/>
  <c r="AP111" i="7"/>
  <c r="AF111" i="7"/>
  <c r="AJ111" i="7" s="1"/>
  <c r="B35" i="12"/>
  <c r="B111" i="7"/>
  <c r="B54" i="12" s="1"/>
  <c r="U113" i="1"/>
  <c r="B65" i="7"/>
  <c r="B53" i="7"/>
  <c r="P53" i="7" s="1"/>
  <c r="AH53" i="7" s="1"/>
  <c r="B52" i="7"/>
  <c r="B49" i="7"/>
  <c r="B46" i="7"/>
  <c r="P46" i="7" s="1"/>
  <c r="AH46" i="7" s="1"/>
  <c r="B45" i="7"/>
  <c r="P45" i="7" s="1"/>
  <c r="P27" i="7"/>
  <c r="AH27" i="7" s="1"/>
  <c r="B9" i="7"/>
  <c r="B12" i="7"/>
  <c r="B35" i="7"/>
  <c r="B32" i="7"/>
  <c r="B25" i="7"/>
  <c r="P25" i="7" s="1"/>
  <c r="AH25" i="7" s="1"/>
  <c r="N133" i="7"/>
  <c r="H134" i="7"/>
  <c r="H135" i="7" s="1"/>
  <c r="D110" i="7"/>
  <c r="D109" i="7"/>
  <c r="H71" i="7"/>
  <c r="H36" i="12" s="1"/>
  <c r="F110" i="7"/>
  <c r="F109" i="7"/>
  <c r="F65" i="7"/>
  <c r="F10" i="7"/>
  <c r="F13" i="12" s="1"/>
  <c r="J90" i="7"/>
  <c r="J98" i="7"/>
  <c r="J46" i="12" s="1"/>
  <c r="J107" i="7"/>
  <c r="J52" i="12" s="1"/>
  <c r="J76" i="7"/>
  <c r="H109" i="7"/>
  <c r="H110" i="7"/>
  <c r="H73" i="7"/>
  <c r="H37" i="12" s="1"/>
  <c r="F43" i="17"/>
  <c r="F30" i="17"/>
  <c r="F16" i="17"/>
  <c r="H9" i="7" s="1"/>
  <c r="H12" i="12" s="1"/>
  <c r="F13" i="17"/>
  <c r="H7" i="7" s="1"/>
  <c r="H10" i="12" s="1"/>
  <c r="T109" i="7"/>
  <c r="T110" i="7"/>
  <c r="R11" i="7"/>
  <c r="R35" i="7"/>
  <c r="Z55" i="7"/>
  <c r="Z24" i="12" s="1"/>
  <c r="F37" i="9"/>
  <c r="X109" i="7"/>
  <c r="X110" i="7"/>
  <c r="X71" i="7"/>
  <c r="X36" i="12" s="1"/>
  <c r="X90" i="7"/>
  <c r="X41" i="12" s="1"/>
  <c r="X65" i="7"/>
  <c r="X34" i="12" s="1"/>
  <c r="X11" i="7"/>
  <c r="X14" i="12" s="1"/>
  <c r="X9" i="7"/>
  <c r="X12" i="12" s="1"/>
  <c r="X7" i="7"/>
  <c r="X10" i="12" s="1"/>
  <c r="X11" i="12"/>
  <c r="F51" i="9"/>
  <c r="F52" i="9" s="1"/>
  <c r="U61" i="4"/>
  <c r="F75" i="11"/>
  <c r="AD55" i="12"/>
  <c r="AD52" i="12"/>
  <c r="AD40" i="12"/>
  <c r="AD38" i="12"/>
  <c r="AD37" i="12"/>
  <c r="AD36" i="12"/>
  <c r="AD33" i="12"/>
  <c r="AD27" i="12"/>
  <c r="AD18" i="12"/>
  <c r="AD17" i="12"/>
  <c r="AD16" i="12"/>
  <c r="AD15" i="12"/>
  <c r="AD13" i="12"/>
  <c r="AE12" i="12"/>
  <c r="AD12" i="12"/>
  <c r="AD11" i="12"/>
  <c r="AE10" i="12"/>
  <c r="N55" i="12"/>
  <c r="N52" i="12"/>
  <c r="N45" i="12"/>
  <c r="N40" i="12"/>
  <c r="N39" i="12"/>
  <c r="N38" i="12"/>
  <c r="N37" i="12"/>
  <c r="N36" i="12"/>
  <c r="N35" i="12"/>
  <c r="N34" i="12"/>
  <c r="N33" i="12"/>
  <c r="N27" i="12"/>
  <c r="N18" i="12"/>
  <c r="N17" i="12"/>
  <c r="N16" i="12"/>
  <c r="N15" i="12"/>
  <c r="N13" i="12"/>
  <c r="N12" i="12"/>
  <c r="N11" i="12"/>
  <c r="AD110" i="7"/>
  <c r="AD109" i="7"/>
  <c r="AD65" i="7"/>
  <c r="AD101" i="7"/>
  <c r="AD100" i="7"/>
  <c r="AD99" i="7"/>
  <c r="AD98" i="7"/>
  <c r="AD55" i="7"/>
  <c r="AD24" i="12" s="1"/>
  <c r="AD54" i="7"/>
  <c r="AD44" i="7"/>
  <c r="AD7" i="7"/>
  <c r="AD10" i="12" s="1"/>
  <c r="F47" i="15"/>
  <c r="F37" i="15"/>
  <c r="F30" i="15"/>
  <c r="AD90" i="7" s="1"/>
  <c r="AD41" i="12" s="1"/>
  <c r="F26" i="15"/>
  <c r="F31" i="15" s="1"/>
  <c r="F19" i="15"/>
  <c r="F6" i="15"/>
  <c r="F7" i="15" s="1"/>
  <c r="P113" i="7"/>
  <c r="AH113" i="7" s="1"/>
  <c r="P97" i="7"/>
  <c r="AH97" i="7" s="1"/>
  <c r="P67" i="7"/>
  <c r="AH67" i="7" s="1"/>
  <c r="P77" i="7"/>
  <c r="AH77" i="7" s="1"/>
  <c r="N39" i="7"/>
  <c r="N19" i="12" s="1"/>
  <c r="P22" i="7"/>
  <c r="AH22" i="7" s="1"/>
  <c r="N110" i="7"/>
  <c r="N109" i="7"/>
  <c r="N101" i="7"/>
  <c r="N100" i="7"/>
  <c r="N99" i="7"/>
  <c r="N98" i="7"/>
  <c r="N130" i="7"/>
  <c r="N55" i="7"/>
  <c r="N134" i="7" s="1"/>
  <c r="N54" i="7"/>
  <c r="N44" i="7"/>
  <c r="N29" i="7"/>
  <c r="AD29" i="7"/>
  <c r="AF93" i="7"/>
  <c r="AJ93" i="7" s="1"/>
  <c r="AF80" i="7"/>
  <c r="AJ80" i="7" s="1"/>
  <c r="AF81" i="7"/>
  <c r="AJ81" i="7" s="1"/>
  <c r="AF83" i="7"/>
  <c r="AJ83" i="7" s="1"/>
  <c r="AF84" i="7"/>
  <c r="AJ84" i="7" s="1"/>
  <c r="AF85" i="7"/>
  <c r="AJ85" i="7" s="1"/>
  <c r="AF91" i="7"/>
  <c r="AJ91" i="7" s="1"/>
  <c r="AF64" i="7"/>
  <c r="AJ64" i="7" s="1"/>
  <c r="AF27" i="7"/>
  <c r="AJ27" i="7" s="1"/>
  <c r="AF25" i="7"/>
  <c r="AJ25" i="7" s="1"/>
  <c r="AF26" i="7"/>
  <c r="AJ26" i="7" s="1"/>
  <c r="AD97" i="7"/>
  <c r="AD45" i="12" s="1"/>
  <c r="AD88" i="7"/>
  <c r="AD39" i="12" s="1"/>
  <c r="AD70" i="7"/>
  <c r="AD35" i="12" s="1"/>
  <c r="AD39" i="7"/>
  <c r="AD19" i="12" s="1"/>
  <c r="AD11" i="7"/>
  <c r="AD14" i="12" s="1"/>
  <c r="E54" i="14"/>
  <c r="E45" i="14"/>
  <c r="E38" i="14"/>
  <c r="E39" i="14" s="1"/>
  <c r="E46" i="14" s="1"/>
  <c r="E10" i="14"/>
  <c r="T52" i="12"/>
  <c r="X52" i="12"/>
  <c r="AB52" i="12"/>
  <c r="T55" i="12"/>
  <c r="X55" i="12"/>
  <c r="Z55" i="12"/>
  <c r="AB55" i="12"/>
  <c r="T45" i="12"/>
  <c r="V45" i="12"/>
  <c r="X45" i="12"/>
  <c r="T46" i="12"/>
  <c r="V46" i="12"/>
  <c r="X46" i="12"/>
  <c r="C62" i="12"/>
  <c r="E62" i="12"/>
  <c r="G62" i="12"/>
  <c r="I62" i="12"/>
  <c r="K62" i="12"/>
  <c r="M62" i="12"/>
  <c r="C55" i="12"/>
  <c r="D55" i="12"/>
  <c r="E55" i="12"/>
  <c r="G55" i="12"/>
  <c r="H55" i="12"/>
  <c r="I55" i="12"/>
  <c r="J55" i="12"/>
  <c r="K55" i="12"/>
  <c r="L55" i="12"/>
  <c r="C53" i="12"/>
  <c r="E53" i="12"/>
  <c r="G53" i="12"/>
  <c r="I53" i="12"/>
  <c r="K53" i="12"/>
  <c r="C52" i="12"/>
  <c r="D52" i="12"/>
  <c r="E52" i="12"/>
  <c r="G52" i="12"/>
  <c r="H52" i="12"/>
  <c r="I52" i="12"/>
  <c r="K52" i="12"/>
  <c r="L52" i="12"/>
  <c r="D46" i="12"/>
  <c r="F46" i="12"/>
  <c r="H46" i="12"/>
  <c r="D45" i="12"/>
  <c r="F45" i="12"/>
  <c r="H45" i="12"/>
  <c r="J45" i="12"/>
  <c r="L45" i="12"/>
  <c r="B45" i="12"/>
  <c r="T36" i="12"/>
  <c r="AB36" i="12"/>
  <c r="X37" i="12"/>
  <c r="AB37" i="12"/>
  <c r="T38" i="12"/>
  <c r="V38" i="12"/>
  <c r="X38" i="12"/>
  <c r="Z38" i="12"/>
  <c r="AB38" i="12"/>
  <c r="T39" i="12"/>
  <c r="V39" i="12"/>
  <c r="X39" i="12"/>
  <c r="T40" i="12"/>
  <c r="V40" i="12"/>
  <c r="X40" i="12"/>
  <c r="Z40" i="12"/>
  <c r="AB40" i="12"/>
  <c r="V41" i="12"/>
  <c r="Z41" i="12"/>
  <c r="AB41" i="12"/>
  <c r="T35" i="12"/>
  <c r="V35" i="12"/>
  <c r="X35" i="12"/>
  <c r="T33" i="12"/>
  <c r="V33" i="12"/>
  <c r="X33" i="12"/>
  <c r="Z33" i="12"/>
  <c r="AB33" i="12"/>
  <c r="R33" i="12"/>
  <c r="R35" i="12"/>
  <c r="R39" i="12"/>
  <c r="R41" i="12"/>
  <c r="H24" i="12"/>
  <c r="D27" i="12"/>
  <c r="F27" i="12"/>
  <c r="H27" i="12"/>
  <c r="J27" i="12"/>
  <c r="L27" i="12"/>
  <c r="T27" i="12"/>
  <c r="V27" i="12"/>
  <c r="X27" i="12"/>
  <c r="Z27" i="12"/>
  <c r="AB27" i="12"/>
  <c r="X24" i="12"/>
  <c r="D41" i="12"/>
  <c r="L41" i="12"/>
  <c r="B41" i="12"/>
  <c r="F40" i="12"/>
  <c r="H40" i="12"/>
  <c r="J40" i="12"/>
  <c r="L40" i="12"/>
  <c r="D39" i="12"/>
  <c r="F39" i="12"/>
  <c r="H39" i="12"/>
  <c r="B39" i="12"/>
  <c r="D38" i="12"/>
  <c r="F38" i="12"/>
  <c r="H38" i="12"/>
  <c r="J38" i="12"/>
  <c r="L38" i="12"/>
  <c r="D33" i="12"/>
  <c r="F33" i="12"/>
  <c r="H33" i="12"/>
  <c r="J33" i="12"/>
  <c r="L33" i="12"/>
  <c r="D36" i="12"/>
  <c r="D35" i="12"/>
  <c r="F35" i="12"/>
  <c r="H35" i="12"/>
  <c r="L35" i="12"/>
  <c r="H34" i="12"/>
  <c r="L34" i="12"/>
  <c r="T18" i="12"/>
  <c r="V18" i="12"/>
  <c r="W18" i="12"/>
  <c r="X18" i="12"/>
  <c r="Y18" i="12"/>
  <c r="Z18" i="12"/>
  <c r="AA18" i="12"/>
  <c r="AB18" i="12"/>
  <c r="V17" i="12"/>
  <c r="W17" i="12"/>
  <c r="X17" i="12"/>
  <c r="Y17" i="12"/>
  <c r="Z17" i="12"/>
  <c r="AA17" i="12"/>
  <c r="AB17" i="12"/>
  <c r="T16" i="12"/>
  <c r="W16" i="12"/>
  <c r="X16" i="12"/>
  <c r="Y16" i="12"/>
  <c r="Z16" i="12"/>
  <c r="AA16" i="12"/>
  <c r="AB16" i="12"/>
  <c r="T15" i="12"/>
  <c r="V15" i="12"/>
  <c r="W15" i="12"/>
  <c r="X15" i="12"/>
  <c r="Y15" i="12"/>
  <c r="Z15" i="12"/>
  <c r="AA15" i="12"/>
  <c r="AB15" i="12"/>
  <c r="W14" i="12"/>
  <c r="Y14" i="12"/>
  <c r="Z14" i="12"/>
  <c r="AA14" i="12"/>
  <c r="T13" i="12"/>
  <c r="W13" i="12"/>
  <c r="X13" i="12"/>
  <c r="Y13" i="12"/>
  <c r="Z13" i="12"/>
  <c r="AA13" i="12"/>
  <c r="AB13" i="12"/>
  <c r="R13" i="12"/>
  <c r="T12" i="12"/>
  <c r="V12" i="12"/>
  <c r="W12" i="12"/>
  <c r="Y12" i="12"/>
  <c r="Z12" i="12"/>
  <c r="AA12" i="12"/>
  <c r="AB12" i="12"/>
  <c r="AC12" i="12"/>
  <c r="R12" i="12"/>
  <c r="W11" i="12"/>
  <c r="Y11" i="12"/>
  <c r="Z11" i="12"/>
  <c r="AA11" i="12"/>
  <c r="AB11" i="12"/>
  <c r="W10" i="12"/>
  <c r="Y10" i="12"/>
  <c r="AA10" i="12"/>
  <c r="AC10" i="12"/>
  <c r="D16" i="12"/>
  <c r="F16" i="12"/>
  <c r="H16" i="12"/>
  <c r="J16" i="12"/>
  <c r="L16" i="12"/>
  <c r="D18" i="12"/>
  <c r="F18" i="12"/>
  <c r="H18" i="12"/>
  <c r="J18" i="12"/>
  <c r="L18" i="12"/>
  <c r="F17" i="12"/>
  <c r="H17" i="12"/>
  <c r="J17" i="12"/>
  <c r="L17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3" i="12"/>
  <c r="AP12" i="12"/>
  <c r="AB109" i="7"/>
  <c r="AB88" i="7"/>
  <c r="AB39" i="12" s="1"/>
  <c r="AB70" i="7"/>
  <c r="AB35" i="12" s="1"/>
  <c r="AB98" i="7"/>
  <c r="AB46" i="12" s="1"/>
  <c r="AB97" i="7"/>
  <c r="AB45" i="12" s="1"/>
  <c r="AB55" i="7"/>
  <c r="AB24" i="12" s="1"/>
  <c r="AB11" i="7"/>
  <c r="AB14" i="12" s="1"/>
  <c r="L73" i="7"/>
  <c r="L37" i="12" s="1"/>
  <c r="L88" i="7"/>
  <c r="L39" i="12" s="1"/>
  <c r="L36" i="12"/>
  <c r="L55" i="7"/>
  <c r="L24" i="12" s="1"/>
  <c r="L29" i="7"/>
  <c r="F29" i="7"/>
  <c r="J29" i="7"/>
  <c r="H29" i="7"/>
  <c r="AB39" i="7"/>
  <c r="AB19" i="12" s="1"/>
  <c r="AB29" i="7"/>
  <c r="L39" i="7"/>
  <c r="L19" i="12" s="1"/>
  <c r="F82" i="11"/>
  <c r="F66" i="11"/>
  <c r="L98" i="7" s="1"/>
  <c r="L46" i="12" s="1"/>
  <c r="L47" i="12" s="1"/>
  <c r="F62" i="11"/>
  <c r="F63" i="11" s="1"/>
  <c r="F53" i="11"/>
  <c r="F54" i="11" s="1"/>
  <c r="F25" i="11"/>
  <c r="L54" i="7" s="1"/>
  <c r="L56" i="7" s="1"/>
  <c r="L23" i="12" s="1"/>
  <c r="F16" i="11"/>
  <c r="L11" i="7" s="1"/>
  <c r="L129" i="7" s="1"/>
  <c r="F10" i="11"/>
  <c r="L7" i="7" s="1"/>
  <c r="L10" i="12" s="1"/>
  <c r="F87" i="10"/>
  <c r="F80" i="10"/>
  <c r="F91" i="10" s="1"/>
  <c r="F71" i="10"/>
  <c r="F66" i="10"/>
  <c r="F62" i="10"/>
  <c r="F67" i="10"/>
  <c r="F54" i="10"/>
  <c r="F55" i="10" s="1"/>
  <c r="F26" i="10"/>
  <c r="F15" i="10"/>
  <c r="F10" i="10"/>
  <c r="AB7" i="7" s="1"/>
  <c r="AB10" i="12" s="1"/>
  <c r="R58" i="7"/>
  <c r="R27" i="12" s="1"/>
  <c r="B58" i="7"/>
  <c r="P58" i="7" s="1"/>
  <c r="AH58" i="7" s="1"/>
  <c r="B89" i="7"/>
  <c r="B118" i="7"/>
  <c r="B117" i="7"/>
  <c r="B116" i="7"/>
  <c r="B112" i="7"/>
  <c r="P112" i="7" s="1"/>
  <c r="AH112" i="7" s="1"/>
  <c r="B110" i="7"/>
  <c r="B109" i="7"/>
  <c r="B140" i="7" s="1"/>
  <c r="B108" i="7"/>
  <c r="P108" i="7" s="1"/>
  <c r="AH108" i="7" s="1"/>
  <c r="B107" i="7"/>
  <c r="B52" i="12" s="1"/>
  <c r="B101" i="7"/>
  <c r="B100" i="7"/>
  <c r="B99" i="7"/>
  <c r="B98" i="7"/>
  <c r="B93" i="7"/>
  <c r="P93" i="7" s="1"/>
  <c r="AH93" i="7" s="1"/>
  <c r="B91" i="7"/>
  <c r="B87" i="7"/>
  <c r="B38" i="12" s="1"/>
  <c r="B85" i="7"/>
  <c r="P85" i="7" s="1"/>
  <c r="AH85" i="7" s="1"/>
  <c r="B84" i="7"/>
  <c r="P84" i="7" s="1"/>
  <c r="AH84" i="7" s="1"/>
  <c r="B83" i="7"/>
  <c r="P83" i="7" s="1"/>
  <c r="AH83" i="7" s="1"/>
  <c r="B81" i="7"/>
  <c r="P81" i="7" s="1"/>
  <c r="AH81" i="7" s="1"/>
  <c r="B80" i="7"/>
  <c r="P80" i="7" s="1"/>
  <c r="AH80" i="7" s="1"/>
  <c r="AL80" i="7" s="1"/>
  <c r="B79" i="7"/>
  <c r="P79" i="7" s="1"/>
  <c r="AH79" i="7" s="1"/>
  <c r="B78" i="7"/>
  <c r="B76" i="7"/>
  <c r="B75" i="7"/>
  <c r="B74" i="7"/>
  <c r="P74" i="7" s="1"/>
  <c r="AH74" i="7" s="1"/>
  <c r="B73" i="7"/>
  <c r="B72" i="7"/>
  <c r="P72" i="7" s="1"/>
  <c r="AH72" i="7" s="1"/>
  <c r="B71" i="7"/>
  <c r="B69" i="7"/>
  <c r="B68" i="7"/>
  <c r="B64" i="7"/>
  <c r="B33" i="12" s="1"/>
  <c r="B13" i="7"/>
  <c r="P13" i="7" s="1"/>
  <c r="AH13" i="7" s="1"/>
  <c r="J36" i="7"/>
  <c r="AF118" i="7"/>
  <c r="AJ118" i="7" s="1"/>
  <c r="AF113" i="7"/>
  <c r="AJ113" i="7" s="1"/>
  <c r="R110" i="7"/>
  <c r="R109" i="7"/>
  <c r="R108" i="7"/>
  <c r="R107" i="7"/>
  <c r="R52" i="12" s="1"/>
  <c r="R101" i="7"/>
  <c r="R100" i="7"/>
  <c r="R99" i="7"/>
  <c r="R98" i="7"/>
  <c r="R97" i="7"/>
  <c r="R89" i="7"/>
  <c r="R40" i="12" s="1"/>
  <c r="R87" i="7"/>
  <c r="R78" i="7"/>
  <c r="R77" i="7"/>
  <c r="R76" i="7"/>
  <c r="R75" i="7"/>
  <c r="R74" i="7"/>
  <c r="AF74" i="7" s="1"/>
  <c r="AJ74" i="7" s="1"/>
  <c r="R73" i="7"/>
  <c r="R72" i="7"/>
  <c r="AF72" i="7" s="1"/>
  <c r="AJ72" i="7" s="1"/>
  <c r="R71" i="7"/>
  <c r="R36" i="12" s="1"/>
  <c r="R69" i="7"/>
  <c r="R68" i="7"/>
  <c r="R66" i="7"/>
  <c r="R65" i="7"/>
  <c r="U106" i="4"/>
  <c r="U92" i="4"/>
  <c r="U94" i="4" s="1"/>
  <c r="U58" i="4"/>
  <c r="U41" i="4"/>
  <c r="P115" i="7"/>
  <c r="AH115" i="7" s="1"/>
  <c r="P114" i="7"/>
  <c r="AH114" i="7" s="1"/>
  <c r="F107" i="7"/>
  <c r="F52" i="12" s="1"/>
  <c r="F82" i="7"/>
  <c r="F78" i="7"/>
  <c r="F76" i="7"/>
  <c r="F75" i="7"/>
  <c r="F71" i="7"/>
  <c r="F36" i="12" s="1"/>
  <c r="F68" i="7"/>
  <c r="F52" i="7"/>
  <c r="F32" i="7"/>
  <c r="AF115" i="7"/>
  <c r="AJ115" i="7" s="1"/>
  <c r="AF114" i="7"/>
  <c r="AJ114" i="7" s="1"/>
  <c r="V107" i="7"/>
  <c r="V52" i="12" s="1"/>
  <c r="V82" i="7"/>
  <c r="V78" i="7"/>
  <c r="V76" i="7"/>
  <c r="V75" i="7"/>
  <c r="V71" i="7"/>
  <c r="V36" i="12" s="1"/>
  <c r="V69" i="7"/>
  <c r="V68" i="7"/>
  <c r="V66" i="7"/>
  <c r="V65" i="7"/>
  <c r="U26" i="3"/>
  <c r="U39" i="3"/>
  <c r="U40" i="3" s="1"/>
  <c r="U56" i="3"/>
  <c r="U49" i="6"/>
  <c r="U38" i="6"/>
  <c r="U39" i="6" s="1"/>
  <c r="U24" i="6"/>
  <c r="U17" i="6"/>
  <c r="T90" i="7"/>
  <c r="T86" i="7"/>
  <c r="AF86" i="7" s="1"/>
  <c r="AJ86" i="7" s="1"/>
  <c r="T82" i="7"/>
  <c r="T78" i="7"/>
  <c r="T77" i="7"/>
  <c r="T67" i="7"/>
  <c r="AF67" i="7" s="1"/>
  <c r="AJ67" i="7" s="1"/>
  <c r="T65" i="7"/>
  <c r="Z7" i="7"/>
  <c r="Z10" i="12" s="1"/>
  <c r="U26" i="5"/>
  <c r="U47" i="5"/>
  <c r="U39" i="5"/>
  <c r="U40" i="5" s="1"/>
  <c r="D86" i="7"/>
  <c r="P86" i="7" s="1"/>
  <c r="AH86" i="7" s="1"/>
  <c r="D34" i="12"/>
  <c r="U56" i="2"/>
  <c r="U29" i="2"/>
  <c r="U21" i="2"/>
  <c r="Z110" i="7"/>
  <c r="Z109" i="7"/>
  <c r="Z107" i="7"/>
  <c r="Z52" i="12" s="1"/>
  <c r="Z98" i="7"/>
  <c r="Z46" i="12" s="1"/>
  <c r="Z97" i="7"/>
  <c r="Z45" i="12" s="1"/>
  <c r="Z88" i="7"/>
  <c r="Z79" i="7"/>
  <c r="AF79" i="7" s="1"/>
  <c r="AJ79" i="7" s="1"/>
  <c r="Z82" i="7"/>
  <c r="Z71" i="7"/>
  <c r="Z36" i="12" s="1"/>
  <c r="Z70" i="7"/>
  <c r="Z35" i="12" s="1"/>
  <c r="Z69" i="7"/>
  <c r="Z66" i="7"/>
  <c r="Z39" i="7"/>
  <c r="Z19" i="12" s="1"/>
  <c r="F62" i="9"/>
  <c r="F56" i="9"/>
  <c r="F9" i="9"/>
  <c r="F10" i="9" s="1"/>
  <c r="J110" i="7"/>
  <c r="J109" i="7"/>
  <c r="J7" i="7"/>
  <c r="J10" i="12" s="1"/>
  <c r="J70" i="7"/>
  <c r="J35" i="12" s="1"/>
  <c r="J88" i="7"/>
  <c r="J78" i="7"/>
  <c r="J82" i="7"/>
  <c r="J71" i="7"/>
  <c r="J36" i="12" s="1"/>
  <c r="J69" i="7"/>
  <c r="J66" i="7"/>
  <c r="J55" i="7"/>
  <c r="J134" i="7" s="1"/>
  <c r="J135" i="7" s="1"/>
  <c r="J138" i="7" s="1"/>
  <c r="J54" i="7"/>
  <c r="J32" i="7"/>
  <c r="J39" i="7" s="1"/>
  <c r="J19" i="12" s="1"/>
  <c r="Z29" i="7"/>
  <c r="X29" i="7"/>
  <c r="F66" i="8"/>
  <c r="F60" i="8"/>
  <c r="F55" i="8"/>
  <c r="F56" i="8" s="1"/>
  <c r="F39" i="8"/>
  <c r="F35" i="8"/>
  <c r="F8" i="8"/>
  <c r="F9" i="8" s="1"/>
  <c r="AP80" i="7"/>
  <c r="AP81" i="7"/>
  <c r="AP83" i="7"/>
  <c r="AP84" i="7"/>
  <c r="AP85" i="7"/>
  <c r="AP91" i="7"/>
  <c r="AP93" i="7"/>
  <c r="X102" i="7"/>
  <c r="V47" i="7"/>
  <c r="V49" i="7"/>
  <c r="V44" i="7"/>
  <c r="T49" i="7"/>
  <c r="T44" i="7"/>
  <c r="R54" i="7"/>
  <c r="R53" i="7"/>
  <c r="AF53" i="7" s="1"/>
  <c r="AJ53" i="7" s="1"/>
  <c r="R52" i="7"/>
  <c r="R51" i="7"/>
  <c r="AF51" i="7" s="1"/>
  <c r="AJ51" i="7" s="1"/>
  <c r="R50" i="7"/>
  <c r="AF50" i="7" s="1"/>
  <c r="AJ50" i="7" s="1"/>
  <c r="R49" i="7"/>
  <c r="R48" i="7"/>
  <c r="AF48" i="7" s="1"/>
  <c r="AJ48" i="7" s="1"/>
  <c r="R47" i="7"/>
  <c r="R46" i="7"/>
  <c r="AF46" i="7" s="1"/>
  <c r="R45" i="7"/>
  <c r="AF45" i="7" s="1"/>
  <c r="AJ45" i="7" s="1"/>
  <c r="R44" i="7"/>
  <c r="F47" i="7"/>
  <c r="F49" i="7"/>
  <c r="F44" i="7"/>
  <c r="D49" i="7"/>
  <c r="D44" i="7"/>
  <c r="B54" i="7"/>
  <c r="B51" i="7"/>
  <c r="P51" i="7" s="1"/>
  <c r="AH51" i="7" s="1"/>
  <c r="B50" i="7"/>
  <c r="P50" i="7" s="1"/>
  <c r="AH50" i="7" s="1"/>
  <c r="B48" i="7"/>
  <c r="P48" i="7" s="1"/>
  <c r="AH48" i="7" s="1"/>
  <c r="B47" i="7"/>
  <c r="X56" i="7"/>
  <c r="X23" i="12" s="1"/>
  <c r="X39" i="7"/>
  <c r="X19" i="12" s="1"/>
  <c r="V102" i="7"/>
  <c r="T102" i="7"/>
  <c r="H102" i="7"/>
  <c r="F102" i="7"/>
  <c r="D102" i="7"/>
  <c r="V13" i="7"/>
  <c r="V16" i="12" s="1"/>
  <c r="V11" i="7"/>
  <c r="V14" i="12" s="1"/>
  <c r="V8" i="7"/>
  <c r="V11" i="12" s="1"/>
  <c r="V7" i="7"/>
  <c r="V10" i="12" s="1"/>
  <c r="V38" i="7"/>
  <c r="V55" i="7"/>
  <c r="V24" i="12" s="1"/>
  <c r="V10" i="7"/>
  <c r="V13" i="12" s="1"/>
  <c r="V32" i="7"/>
  <c r="V35" i="7"/>
  <c r="R55" i="7"/>
  <c r="R24" i="12" s="1"/>
  <c r="T55" i="7"/>
  <c r="T24" i="12" s="1"/>
  <c r="T35" i="7"/>
  <c r="T22" i="7"/>
  <c r="AF22" i="7" s="1"/>
  <c r="AJ22" i="7" s="1"/>
  <c r="T20" i="7"/>
  <c r="T16" i="7"/>
  <c r="T15" i="7"/>
  <c r="T14" i="7"/>
  <c r="T8" i="7"/>
  <c r="T7" i="7"/>
  <c r="T10" i="12" s="1"/>
  <c r="R8" i="7"/>
  <c r="R11" i="12" s="1"/>
  <c r="R12" i="7"/>
  <c r="R15" i="12" s="1"/>
  <c r="R13" i="7"/>
  <c r="R16" i="12" s="1"/>
  <c r="R36" i="7"/>
  <c r="AF36" i="7" s="1"/>
  <c r="AJ36" i="7" s="1"/>
  <c r="R34" i="7"/>
  <c r="AF34" i="7" s="1"/>
  <c r="AJ34" i="7" s="1"/>
  <c r="R33" i="7"/>
  <c r="AF33" i="7" s="1"/>
  <c r="AJ33" i="7" s="1"/>
  <c r="R32" i="7"/>
  <c r="R31" i="7"/>
  <c r="AF31" i="7" s="1"/>
  <c r="AJ31" i="7" s="1"/>
  <c r="R24" i="7"/>
  <c r="AF24" i="7" s="1"/>
  <c r="AJ24" i="7" s="1"/>
  <c r="R23" i="7"/>
  <c r="AF23" i="7" s="1"/>
  <c r="AJ23" i="7" s="1"/>
  <c r="R21" i="7"/>
  <c r="AF21" i="7" s="1"/>
  <c r="AJ21" i="7" s="1"/>
  <c r="R20" i="7"/>
  <c r="R19" i="7"/>
  <c r="AF19" i="7" s="1"/>
  <c r="AJ19" i="7" s="1"/>
  <c r="R18" i="7"/>
  <c r="AF18" i="7" s="1"/>
  <c r="AJ18" i="7" s="1"/>
  <c r="R17" i="7"/>
  <c r="AF17" i="7" s="1"/>
  <c r="AJ17" i="7" s="1"/>
  <c r="R16" i="7"/>
  <c r="R15" i="7"/>
  <c r="R14" i="7"/>
  <c r="R7" i="7"/>
  <c r="H56" i="7"/>
  <c r="H23" i="12" s="1"/>
  <c r="F55" i="7"/>
  <c r="D55" i="7"/>
  <c r="D134" i="7" s="1"/>
  <c r="D135" i="7" s="1"/>
  <c r="B55" i="7"/>
  <c r="B24" i="12" s="1"/>
  <c r="B26" i="7"/>
  <c r="F38" i="7"/>
  <c r="D38" i="7"/>
  <c r="F35" i="7"/>
  <c r="D35" i="7"/>
  <c r="B34" i="7"/>
  <c r="P34" i="7" s="1"/>
  <c r="AH34" i="7" s="1"/>
  <c r="B33" i="7"/>
  <c r="P33" i="7" s="1"/>
  <c r="AH33" i="7" s="1"/>
  <c r="B31" i="7"/>
  <c r="P31" i="7" s="1"/>
  <c r="AH31" i="7" s="1"/>
  <c r="F14" i="12"/>
  <c r="D11" i="7"/>
  <c r="D16" i="7"/>
  <c r="D15" i="7"/>
  <c r="D14" i="7"/>
  <c r="B23" i="7"/>
  <c r="P23" i="7" s="1"/>
  <c r="AH23" i="7" s="1"/>
  <c r="B21" i="7"/>
  <c r="P21" i="7" s="1"/>
  <c r="AH21" i="7" s="1"/>
  <c r="B20" i="7"/>
  <c r="P20" i="7" s="1"/>
  <c r="AH20" i="7" s="1"/>
  <c r="B19" i="7"/>
  <c r="P19" i="7" s="1"/>
  <c r="AH19" i="7" s="1"/>
  <c r="B18" i="7"/>
  <c r="P18" i="7" s="1"/>
  <c r="AH18" i="7" s="1"/>
  <c r="B17" i="7"/>
  <c r="P17" i="7" s="1"/>
  <c r="AH17" i="7" s="1"/>
  <c r="B16" i="7"/>
  <c r="B15" i="7"/>
  <c r="B14" i="7"/>
  <c r="F8" i="7"/>
  <c r="F11" i="12" s="1"/>
  <c r="D8" i="7"/>
  <c r="D11" i="12" s="1"/>
  <c r="B8" i="7"/>
  <c r="B11" i="12" s="1"/>
  <c r="F7" i="7"/>
  <c r="D7" i="7"/>
  <c r="D10" i="12" s="1"/>
  <c r="B10" i="12"/>
  <c r="U49" i="2"/>
  <c r="AF108" i="7"/>
  <c r="AJ108" i="7" s="1"/>
  <c r="AF58" i="7"/>
  <c r="AJ58" i="7" s="1"/>
  <c r="F41" i="12"/>
  <c r="B24" i="7"/>
  <c r="B18" i="12" s="1"/>
  <c r="U115" i="1"/>
  <c r="U70" i="1"/>
  <c r="U71" i="1" s="1"/>
  <c r="B44" i="7"/>
  <c r="AB65" i="7"/>
  <c r="F90" i="11" l="1"/>
  <c r="L110" i="7"/>
  <c r="P130" i="7"/>
  <c r="F72" i="10"/>
  <c r="F92" i="10" s="1"/>
  <c r="AF89" i="7"/>
  <c r="AJ89" i="7" s="1"/>
  <c r="AB54" i="7"/>
  <c r="P129" i="7"/>
  <c r="P131" i="7" s="1"/>
  <c r="F61" i="8"/>
  <c r="F67" i="11"/>
  <c r="AL83" i="7"/>
  <c r="N135" i="7"/>
  <c r="N138" i="7" s="1"/>
  <c r="AN22" i="7"/>
  <c r="AP22" i="7" s="1"/>
  <c r="J119" i="7"/>
  <c r="AF88" i="7"/>
  <c r="AJ88" i="7" s="1"/>
  <c r="T47" i="12"/>
  <c r="AF99" i="7"/>
  <c r="AJ99" i="7" s="1"/>
  <c r="AC20" i="12"/>
  <c r="P10" i="7"/>
  <c r="AH10" i="7" s="1"/>
  <c r="F56" i="7"/>
  <c r="F39" i="7"/>
  <c r="F19" i="12" s="1"/>
  <c r="P88" i="7"/>
  <c r="AH88" i="7" s="1"/>
  <c r="AF100" i="7"/>
  <c r="AJ100" i="7" s="1"/>
  <c r="AF68" i="7"/>
  <c r="AJ68" i="7" s="1"/>
  <c r="AF75" i="7"/>
  <c r="AJ75" i="7" s="1"/>
  <c r="Z56" i="7"/>
  <c r="Z23" i="12" s="1"/>
  <c r="Z25" i="12" s="1"/>
  <c r="F16" i="10"/>
  <c r="F56" i="10" s="1"/>
  <c r="F10" i="12"/>
  <c r="F41" i="7"/>
  <c r="F53" i="12"/>
  <c r="J39" i="12"/>
  <c r="P39" i="12" s="1"/>
  <c r="AH39" i="12" s="1"/>
  <c r="N7" i="7"/>
  <c r="N10" i="12" s="1"/>
  <c r="N20" i="12" s="1"/>
  <c r="E17" i="14"/>
  <c r="E30" i="14" s="1"/>
  <c r="E55" i="14"/>
  <c r="F38" i="9"/>
  <c r="AF76" i="7"/>
  <c r="AJ76" i="7" s="1"/>
  <c r="U27" i="5"/>
  <c r="B14" i="12"/>
  <c r="U58" i="3"/>
  <c r="D53" i="12"/>
  <c r="D56" i="12" s="1"/>
  <c r="D37" i="12"/>
  <c r="P82" i="7"/>
  <c r="AH82" i="7" s="1"/>
  <c r="U31" i="2"/>
  <c r="F38" i="17"/>
  <c r="F39" i="17" s="1"/>
  <c r="F44" i="17" s="1"/>
  <c r="H53" i="12"/>
  <c r="H56" i="12" s="1"/>
  <c r="P75" i="7"/>
  <c r="AH75" i="7" s="1"/>
  <c r="AL75" i="7" s="1"/>
  <c r="L119" i="7"/>
  <c r="L14" i="12"/>
  <c r="L20" i="12" s="1"/>
  <c r="N41" i="12"/>
  <c r="N42" i="12" s="1"/>
  <c r="AB102" i="7"/>
  <c r="L102" i="7"/>
  <c r="U25" i="6"/>
  <c r="D47" i="12"/>
  <c r="F91" i="11"/>
  <c r="L94" i="7"/>
  <c r="L104" i="7" s="1"/>
  <c r="F17" i="11"/>
  <c r="F55" i="11" s="1"/>
  <c r="F23" i="17"/>
  <c r="F24" i="17" s="1"/>
  <c r="AF13" i="7"/>
  <c r="AJ13" i="7" s="1"/>
  <c r="AN13" i="7" s="1"/>
  <c r="AP13" i="7" s="1"/>
  <c r="P36" i="7"/>
  <c r="AH36" i="7" s="1"/>
  <c r="AN79" i="7"/>
  <c r="AP79" i="7" s="1"/>
  <c r="P101" i="7"/>
  <c r="AH101" i="7" s="1"/>
  <c r="N53" i="12"/>
  <c r="N56" i="12" s="1"/>
  <c r="F21" i="16"/>
  <c r="F22" i="16" s="1"/>
  <c r="AB110" i="7"/>
  <c r="AF110" i="7" s="1"/>
  <c r="AJ110" i="7" s="1"/>
  <c r="N94" i="7"/>
  <c r="P64" i="7"/>
  <c r="AH64" i="7" s="1"/>
  <c r="AL64" i="7" s="1"/>
  <c r="AF107" i="7"/>
  <c r="AJ107" i="7" s="1"/>
  <c r="F38" i="15"/>
  <c r="F48" i="15" s="1"/>
  <c r="B29" i="7"/>
  <c r="J56" i="7"/>
  <c r="J23" i="12" s="1"/>
  <c r="V37" i="12"/>
  <c r="AF117" i="7"/>
  <c r="AJ117" i="7" s="1"/>
  <c r="P98" i="7"/>
  <c r="AH98" i="7" s="1"/>
  <c r="L134" i="7"/>
  <c r="L135" i="7" s="1"/>
  <c r="F47" i="12"/>
  <c r="N41" i="7"/>
  <c r="F57" i="9"/>
  <c r="F63" i="9" s="1"/>
  <c r="H39" i="7"/>
  <c r="H19" i="12" s="1"/>
  <c r="H20" i="12" s="1"/>
  <c r="H119" i="7"/>
  <c r="D119" i="7"/>
  <c r="U109" i="4"/>
  <c r="U63" i="4"/>
  <c r="AF16" i="12"/>
  <c r="AJ16" i="12" s="1"/>
  <c r="R29" i="7"/>
  <c r="U50" i="5"/>
  <c r="AF78" i="7"/>
  <c r="AJ78" i="7" s="1"/>
  <c r="U51" i="6"/>
  <c r="V53" i="12"/>
  <c r="Z53" i="12"/>
  <c r="Z56" i="12" s="1"/>
  <c r="AF70" i="7"/>
  <c r="AJ70" i="7" s="1"/>
  <c r="Z39" i="12"/>
  <c r="AF39" i="12" s="1"/>
  <c r="AJ39" i="12" s="1"/>
  <c r="Z34" i="12"/>
  <c r="Z41" i="7"/>
  <c r="AD119" i="7"/>
  <c r="F20" i="15"/>
  <c r="AD41" i="7"/>
  <c r="F40" i="16"/>
  <c r="L25" i="12"/>
  <c r="AL50" i="7"/>
  <c r="AF7" i="7"/>
  <c r="AJ7" i="7" s="1"/>
  <c r="T56" i="7"/>
  <c r="T23" i="12" s="1"/>
  <c r="T25" i="12" s="1"/>
  <c r="J102" i="7"/>
  <c r="AB47" i="12"/>
  <c r="D39" i="7"/>
  <c r="D19" i="12" s="1"/>
  <c r="AF14" i="7"/>
  <c r="AJ14" i="7" s="1"/>
  <c r="R39" i="7"/>
  <c r="R19" i="12" s="1"/>
  <c r="X119" i="7"/>
  <c r="AF35" i="7"/>
  <c r="AJ35" i="7" s="1"/>
  <c r="AF49" i="7"/>
  <c r="AJ49" i="7" s="1"/>
  <c r="AF10" i="7"/>
  <c r="AJ10" i="7" s="1"/>
  <c r="P87" i="7"/>
  <c r="AH87" i="7" s="1"/>
  <c r="P15" i="7"/>
  <c r="AH15" i="7" s="1"/>
  <c r="AF20" i="7"/>
  <c r="AJ20" i="7" s="1"/>
  <c r="AL20" i="7" s="1"/>
  <c r="R34" i="12"/>
  <c r="AF101" i="7"/>
  <c r="AJ101" i="7" s="1"/>
  <c r="AF109" i="7"/>
  <c r="AJ109" i="7" s="1"/>
  <c r="AB20" i="12"/>
  <c r="AF33" i="12"/>
  <c r="AJ33" i="12" s="1"/>
  <c r="J47" i="12"/>
  <c r="X47" i="12"/>
  <c r="AF52" i="12"/>
  <c r="AJ52" i="12" s="1"/>
  <c r="AL85" i="7"/>
  <c r="AF15" i="12"/>
  <c r="AJ15" i="12" s="1"/>
  <c r="L42" i="12"/>
  <c r="L49" i="12" s="1"/>
  <c r="H25" i="12"/>
  <c r="V47" i="12"/>
  <c r="N46" i="12"/>
  <c r="N47" i="12" s="1"/>
  <c r="AF11" i="7"/>
  <c r="AJ11" i="7" s="1"/>
  <c r="T119" i="7"/>
  <c r="P32" i="7"/>
  <c r="AH32" i="7" s="1"/>
  <c r="T39" i="7"/>
  <c r="T19" i="12" s="1"/>
  <c r="AL93" i="7"/>
  <c r="P118" i="7"/>
  <c r="AH118" i="7" s="1"/>
  <c r="J94" i="7"/>
  <c r="J121" i="7" s="1"/>
  <c r="L41" i="7"/>
  <c r="L60" i="7" s="1"/>
  <c r="T29" i="7"/>
  <c r="Z37" i="12"/>
  <c r="AF47" i="7"/>
  <c r="AJ47" i="7" s="1"/>
  <c r="AF36" i="12"/>
  <c r="AJ36" i="12" s="1"/>
  <c r="R102" i="7"/>
  <c r="AF15" i="7"/>
  <c r="AJ15" i="7" s="1"/>
  <c r="AL86" i="7"/>
  <c r="V55" i="12"/>
  <c r="AF66" i="7"/>
  <c r="AJ66" i="7" s="1"/>
  <c r="AL81" i="7"/>
  <c r="X20" i="12"/>
  <c r="H138" i="7"/>
  <c r="AL27" i="7"/>
  <c r="D56" i="7"/>
  <c r="D23" i="12" s="1"/>
  <c r="J37" i="12"/>
  <c r="AD53" i="12"/>
  <c r="AD56" i="12" s="1"/>
  <c r="D24" i="12"/>
  <c r="AF12" i="7"/>
  <c r="AJ12" i="7" s="1"/>
  <c r="H94" i="7"/>
  <c r="H104" i="7" s="1"/>
  <c r="R18" i="12"/>
  <c r="AF18" i="12" s="1"/>
  <c r="AJ18" i="12" s="1"/>
  <c r="P14" i="7"/>
  <c r="AH14" i="7" s="1"/>
  <c r="AN18" i="7"/>
  <c r="AP18" i="7" s="1"/>
  <c r="D14" i="12"/>
  <c r="P35" i="7"/>
  <c r="AH35" i="7" s="1"/>
  <c r="R10" i="12"/>
  <c r="V56" i="7"/>
  <c r="V23" i="12" s="1"/>
  <c r="V25" i="12" s="1"/>
  <c r="Z47" i="12"/>
  <c r="Z119" i="7"/>
  <c r="P89" i="7"/>
  <c r="AH89" i="7" s="1"/>
  <c r="AN89" i="7" s="1"/>
  <c r="AP89" i="7" s="1"/>
  <c r="AF77" i="7"/>
  <c r="AJ77" i="7" s="1"/>
  <c r="AL77" i="7" s="1"/>
  <c r="AF90" i="7"/>
  <c r="AJ90" i="7" s="1"/>
  <c r="AF69" i="7"/>
  <c r="AJ69" i="7" s="1"/>
  <c r="P107" i="7"/>
  <c r="AH107" i="7" s="1"/>
  <c r="N119" i="7"/>
  <c r="X53" i="12"/>
  <c r="X56" i="12" s="1"/>
  <c r="P12" i="7"/>
  <c r="AH12" i="7" s="1"/>
  <c r="B15" i="12"/>
  <c r="P15" i="12" s="1"/>
  <c r="AH15" i="12" s="1"/>
  <c r="AL22" i="7"/>
  <c r="R14" i="12"/>
  <c r="AF14" i="12" s="1"/>
  <c r="AJ14" i="12" s="1"/>
  <c r="AL19" i="7"/>
  <c r="AN34" i="7"/>
  <c r="AP34" i="7" s="1"/>
  <c r="P66" i="7"/>
  <c r="AH66" i="7" s="1"/>
  <c r="J34" i="12"/>
  <c r="V119" i="7"/>
  <c r="R38" i="12"/>
  <c r="AF38" i="12" s="1"/>
  <c r="AJ38" i="12" s="1"/>
  <c r="AF87" i="7"/>
  <c r="AJ87" i="7" s="1"/>
  <c r="AA20" i="12"/>
  <c r="X25" i="12"/>
  <c r="X41" i="7"/>
  <c r="X60" i="7" s="1"/>
  <c r="P90" i="7"/>
  <c r="AH90" i="7" s="1"/>
  <c r="P9" i="7"/>
  <c r="AH9" i="7" s="1"/>
  <c r="AB41" i="7"/>
  <c r="Z102" i="7"/>
  <c r="T41" i="12"/>
  <c r="AF41" i="12" s="1"/>
  <c r="AJ41" i="12" s="1"/>
  <c r="H41" i="12"/>
  <c r="H42" i="12" s="1"/>
  <c r="T53" i="12"/>
  <c r="T56" i="12" s="1"/>
  <c r="P38" i="7"/>
  <c r="AH38" i="7" s="1"/>
  <c r="F134" i="7"/>
  <c r="F135" i="7" s="1"/>
  <c r="F138" i="7" s="1"/>
  <c r="F24" i="12"/>
  <c r="AF32" i="7"/>
  <c r="AJ32" i="7" s="1"/>
  <c r="AF24" i="12"/>
  <c r="AJ24" i="12" s="1"/>
  <c r="AF38" i="7"/>
  <c r="AJ38" i="7" s="1"/>
  <c r="AL51" i="7"/>
  <c r="AN86" i="7"/>
  <c r="AP86" i="7" s="1"/>
  <c r="AN113" i="7"/>
  <c r="AP113" i="7" s="1"/>
  <c r="AL113" i="7"/>
  <c r="P73" i="7"/>
  <c r="AH73" i="7" s="1"/>
  <c r="P117" i="7"/>
  <c r="AH117" i="7" s="1"/>
  <c r="Y20" i="12"/>
  <c r="W20" i="12"/>
  <c r="AF44" i="7"/>
  <c r="AJ44" i="7" s="1"/>
  <c r="AD56" i="7"/>
  <c r="X94" i="7"/>
  <c r="P13" i="12"/>
  <c r="AH13" i="12" s="1"/>
  <c r="H47" i="12"/>
  <c r="AF9" i="7"/>
  <c r="AJ9" i="7" s="1"/>
  <c r="J41" i="12"/>
  <c r="V39" i="7"/>
  <c r="AF27" i="12"/>
  <c r="AJ27" i="12" s="1"/>
  <c r="P45" i="12"/>
  <c r="AH45" i="12" s="1"/>
  <c r="AD34" i="12"/>
  <c r="AD42" i="12" s="1"/>
  <c r="AD94" i="7"/>
  <c r="P18" i="12"/>
  <c r="AH18" i="12" s="1"/>
  <c r="AF116" i="7"/>
  <c r="AJ116" i="7" s="1"/>
  <c r="N24" i="12"/>
  <c r="T34" i="12"/>
  <c r="AF71" i="7"/>
  <c r="AJ71" i="7" s="1"/>
  <c r="T11" i="12"/>
  <c r="AF11" i="12" s="1"/>
  <c r="AJ11" i="12" s="1"/>
  <c r="AF8" i="7"/>
  <c r="AJ8" i="7" s="1"/>
  <c r="Z94" i="7"/>
  <c r="AF97" i="7"/>
  <c r="AJ97" i="7" s="1"/>
  <c r="AN97" i="7" s="1"/>
  <c r="AP97" i="7" s="1"/>
  <c r="R45" i="12"/>
  <c r="R53" i="12"/>
  <c r="P69" i="7"/>
  <c r="AH69" i="7" s="1"/>
  <c r="N102" i="7"/>
  <c r="P54" i="12"/>
  <c r="AH54" i="12" s="1"/>
  <c r="AL54" i="12" s="1"/>
  <c r="T17" i="12"/>
  <c r="AF55" i="7"/>
  <c r="AJ55" i="7" s="1"/>
  <c r="P54" i="7"/>
  <c r="AH54" i="7" s="1"/>
  <c r="R46" i="12"/>
  <c r="P99" i="7"/>
  <c r="AH99" i="7" s="1"/>
  <c r="AL99" i="7" s="1"/>
  <c r="AN108" i="7"/>
  <c r="AP108" i="7" s="1"/>
  <c r="AL58" i="7"/>
  <c r="AD20" i="12"/>
  <c r="AE20" i="12"/>
  <c r="AL53" i="7"/>
  <c r="P35" i="12"/>
  <c r="AH35" i="12" s="1"/>
  <c r="U129" i="1"/>
  <c r="B134" i="7"/>
  <c r="B135" i="7" s="1"/>
  <c r="B138" i="7" s="1"/>
  <c r="AL18" i="7"/>
  <c r="P8" i="7"/>
  <c r="AH8" i="7" s="1"/>
  <c r="P68" i="7"/>
  <c r="AH68" i="7" s="1"/>
  <c r="P78" i="7"/>
  <c r="AH78" i="7" s="1"/>
  <c r="P111" i="7"/>
  <c r="AH111" i="7" s="1"/>
  <c r="AL111" i="7" s="1"/>
  <c r="P49" i="7"/>
  <c r="AH49" i="7" s="1"/>
  <c r="P110" i="7"/>
  <c r="AH110" i="7" s="1"/>
  <c r="AN50" i="7"/>
  <c r="AP50" i="7" s="1"/>
  <c r="P24" i="7"/>
  <c r="AH24" i="7" s="1"/>
  <c r="AL24" i="7" s="1"/>
  <c r="F119" i="7"/>
  <c r="F55" i="12"/>
  <c r="F37" i="12"/>
  <c r="P47" i="7"/>
  <c r="AH47" i="7" s="1"/>
  <c r="AN114" i="7"/>
  <c r="AP114" i="7" s="1"/>
  <c r="AL114" i="7"/>
  <c r="AL115" i="7"/>
  <c r="AN115" i="7"/>
  <c r="AP115" i="7" s="1"/>
  <c r="P44" i="7"/>
  <c r="AH44" i="7" s="1"/>
  <c r="P55" i="7"/>
  <c r="AH55" i="7" s="1"/>
  <c r="P52" i="7"/>
  <c r="AH52" i="7" s="1"/>
  <c r="P76" i="7"/>
  <c r="AH76" i="7" s="1"/>
  <c r="P71" i="7"/>
  <c r="AH71" i="7" s="1"/>
  <c r="F94" i="7"/>
  <c r="F104" i="7" s="1"/>
  <c r="F34" i="12"/>
  <c r="U27" i="3"/>
  <c r="U59" i="2"/>
  <c r="P109" i="7"/>
  <c r="P140" i="7" s="1"/>
  <c r="AN19" i="7"/>
  <c r="AP19" i="7" s="1"/>
  <c r="AL34" i="7"/>
  <c r="P11" i="7"/>
  <c r="AH11" i="7" s="1"/>
  <c r="B16" i="12"/>
  <c r="P16" i="12" s="1"/>
  <c r="AH16" i="12" s="1"/>
  <c r="AN48" i="7"/>
  <c r="AP48" i="7" s="1"/>
  <c r="AL48" i="7"/>
  <c r="AN23" i="7"/>
  <c r="AP23" i="7" s="1"/>
  <c r="AL23" i="7"/>
  <c r="AN53" i="7"/>
  <c r="AP53" i="7" s="1"/>
  <c r="B56" i="7"/>
  <c r="B23" i="12" s="1"/>
  <c r="B34" i="12"/>
  <c r="AL31" i="7"/>
  <c r="P70" i="7"/>
  <c r="AH70" i="7" s="1"/>
  <c r="B55" i="12"/>
  <c r="B39" i="7"/>
  <c r="B19" i="12" s="1"/>
  <c r="AL33" i="7"/>
  <c r="AN33" i="7"/>
  <c r="AP33" i="7" s="1"/>
  <c r="AL21" i="7"/>
  <c r="AN21" i="7"/>
  <c r="AP21" i="7" s="1"/>
  <c r="AN74" i="7"/>
  <c r="AP74" i="7" s="1"/>
  <c r="AL74" i="7"/>
  <c r="AH45" i="7"/>
  <c r="AL17" i="7"/>
  <c r="AN17" i="7"/>
  <c r="AP17" i="7" s="1"/>
  <c r="AN72" i="7"/>
  <c r="AP72" i="7" s="1"/>
  <c r="AL72" i="7"/>
  <c r="AN20" i="7"/>
  <c r="AP20" i="7" s="1"/>
  <c r="AN58" i="7"/>
  <c r="AP58" i="7" s="1"/>
  <c r="AN51" i="7"/>
  <c r="AP51" i="7" s="1"/>
  <c r="B94" i="7"/>
  <c r="B119" i="7"/>
  <c r="B53" i="12"/>
  <c r="B27" i="12"/>
  <c r="P27" i="12" s="1"/>
  <c r="AH27" i="12" s="1"/>
  <c r="P65" i="7"/>
  <c r="AH65" i="7" s="1"/>
  <c r="P116" i="7"/>
  <c r="AH116" i="7" s="1"/>
  <c r="B12" i="12"/>
  <c r="P12" i="12" s="1"/>
  <c r="AH12" i="12" s="1"/>
  <c r="B102" i="7"/>
  <c r="B46" i="12"/>
  <c r="AL79" i="7"/>
  <c r="P100" i="7"/>
  <c r="J53" i="12"/>
  <c r="J56" i="12" s="1"/>
  <c r="F67" i="8"/>
  <c r="F40" i="8"/>
  <c r="J24" i="12"/>
  <c r="AB56" i="7"/>
  <c r="AF54" i="7"/>
  <c r="AJ54" i="7" s="1"/>
  <c r="P11" i="12"/>
  <c r="AH11" i="12" s="1"/>
  <c r="P26" i="7"/>
  <c r="AH26" i="7" s="1"/>
  <c r="AL26" i="7" s="1"/>
  <c r="B17" i="12"/>
  <c r="AF10" i="12"/>
  <c r="AF16" i="7"/>
  <c r="AJ16" i="7" s="1"/>
  <c r="R17" i="12"/>
  <c r="AN67" i="7"/>
  <c r="AP67" i="7" s="1"/>
  <c r="AL67" i="7"/>
  <c r="AF82" i="7"/>
  <c r="AJ82" i="7" s="1"/>
  <c r="T37" i="12"/>
  <c r="T94" i="7"/>
  <c r="V34" i="12"/>
  <c r="AF65" i="7"/>
  <c r="V94" i="7"/>
  <c r="AF73" i="7"/>
  <c r="AJ73" i="7" s="1"/>
  <c r="R37" i="12"/>
  <c r="R94" i="7"/>
  <c r="AJ46" i="7"/>
  <c r="AF35" i="12"/>
  <c r="AJ35" i="12" s="1"/>
  <c r="AL108" i="7"/>
  <c r="AD46" i="12"/>
  <c r="AD102" i="7"/>
  <c r="AF98" i="7"/>
  <c r="AB34" i="12"/>
  <c r="AB42" i="12" s="1"/>
  <c r="AB94" i="7"/>
  <c r="AB104" i="7" s="1"/>
  <c r="J20" i="12"/>
  <c r="D40" i="12"/>
  <c r="D94" i="7"/>
  <c r="P16" i="7"/>
  <c r="AH16" i="7" s="1"/>
  <c r="D17" i="12"/>
  <c r="D29" i="7"/>
  <c r="AF52" i="7"/>
  <c r="AJ52" i="7" s="1"/>
  <c r="R56" i="7"/>
  <c r="AF12" i="12"/>
  <c r="AJ12" i="12" s="1"/>
  <c r="AF13" i="12"/>
  <c r="AJ13" i="12" s="1"/>
  <c r="P33" i="12"/>
  <c r="X42" i="12"/>
  <c r="P52" i="12"/>
  <c r="AF112" i="7"/>
  <c r="AJ112" i="7" s="1"/>
  <c r="R119" i="7"/>
  <c r="P91" i="7"/>
  <c r="AH91" i="7" s="1"/>
  <c r="AL91" i="7" s="1"/>
  <c r="B36" i="12"/>
  <c r="B40" i="12"/>
  <c r="J41" i="7"/>
  <c r="Z20" i="12"/>
  <c r="AF40" i="12"/>
  <c r="AJ40" i="12" s="1"/>
  <c r="AL84" i="7"/>
  <c r="AL25" i="7"/>
  <c r="P38" i="12"/>
  <c r="AH38" i="12" s="1"/>
  <c r="N56" i="7"/>
  <c r="D138" i="7"/>
  <c r="F50" i="15" l="1"/>
  <c r="F94" i="10"/>
  <c r="AL117" i="7"/>
  <c r="L53" i="12"/>
  <c r="L56" i="12" s="1"/>
  <c r="L58" i="12" s="1"/>
  <c r="AN70" i="7"/>
  <c r="AP70" i="7" s="1"/>
  <c r="AN88" i="7"/>
  <c r="AP88" i="7" s="1"/>
  <c r="P10" i="12"/>
  <c r="F20" i="12"/>
  <c r="P7" i="7"/>
  <c r="AH7" i="7" s="1"/>
  <c r="AN7" i="7" s="1"/>
  <c r="AP7" i="7" s="1"/>
  <c r="H29" i="12"/>
  <c r="AL88" i="7"/>
  <c r="AN36" i="7"/>
  <c r="AP36" i="7" s="1"/>
  <c r="AL36" i="7"/>
  <c r="AN90" i="7"/>
  <c r="AP90" i="7" s="1"/>
  <c r="AN10" i="7"/>
  <c r="AP10" i="7" s="1"/>
  <c r="T121" i="7"/>
  <c r="F56" i="12"/>
  <c r="AN101" i="7"/>
  <c r="AP101" i="7" s="1"/>
  <c r="Z29" i="12"/>
  <c r="R104" i="7"/>
  <c r="AL76" i="7"/>
  <c r="AL16" i="12"/>
  <c r="AN32" i="7"/>
  <c r="AP32" i="7" s="1"/>
  <c r="AN77" i="7"/>
  <c r="AP77" i="7" s="1"/>
  <c r="AN107" i="7"/>
  <c r="AP107" i="7" s="1"/>
  <c r="Z60" i="7"/>
  <c r="V52" i="5"/>
  <c r="AL89" i="7"/>
  <c r="AN75" i="7"/>
  <c r="AP75" i="7" s="1"/>
  <c r="V62" i="2"/>
  <c r="J104" i="7"/>
  <c r="E57" i="14"/>
  <c r="N104" i="7"/>
  <c r="F42" i="16"/>
  <c r="X29" i="12"/>
  <c r="F65" i="9"/>
  <c r="AL12" i="7"/>
  <c r="AN78" i="7"/>
  <c r="AP78" i="7" s="1"/>
  <c r="AL10" i="7"/>
  <c r="AB119" i="7"/>
  <c r="AB121" i="7" s="1"/>
  <c r="AB53" i="12"/>
  <c r="AB56" i="12" s="1"/>
  <c r="AB58" i="12" s="1"/>
  <c r="AL13" i="7"/>
  <c r="AJ39" i="7"/>
  <c r="U60" i="3"/>
  <c r="D42" i="12"/>
  <c r="D49" i="12" s="1"/>
  <c r="AL82" i="7"/>
  <c r="D25" i="12"/>
  <c r="F46" i="17"/>
  <c r="H41" i="7"/>
  <c r="H60" i="7" s="1"/>
  <c r="J123" i="7"/>
  <c r="P14" i="12"/>
  <c r="AH14" i="12" s="1"/>
  <c r="AL14" i="12" s="1"/>
  <c r="L29" i="12"/>
  <c r="F93" i="11"/>
  <c r="AH109" i="7"/>
  <c r="AH119" i="7" s="1"/>
  <c r="U132" i="1"/>
  <c r="AL107" i="7"/>
  <c r="AN117" i="7"/>
  <c r="AP117" i="7" s="1"/>
  <c r="AN9" i="7"/>
  <c r="AP9" i="7" s="1"/>
  <c r="P55" i="12"/>
  <c r="AH55" i="12" s="1"/>
  <c r="Z121" i="7"/>
  <c r="J42" i="12"/>
  <c r="J49" i="12" s="1"/>
  <c r="X49" i="12"/>
  <c r="F42" i="12"/>
  <c r="F49" i="12" s="1"/>
  <c r="V53" i="6"/>
  <c r="J60" i="7"/>
  <c r="J122" i="7" s="1"/>
  <c r="L121" i="7"/>
  <c r="L123" i="7" s="1"/>
  <c r="AN76" i="7"/>
  <c r="AP76" i="7" s="1"/>
  <c r="V56" i="12"/>
  <c r="V112" i="4"/>
  <c r="AN47" i="7"/>
  <c r="AP47" i="7" s="1"/>
  <c r="AL32" i="7"/>
  <c r="R41" i="7"/>
  <c r="R60" i="7" s="1"/>
  <c r="AF29" i="7"/>
  <c r="AL15" i="7"/>
  <c r="AN8" i="7"/>
  <c r="AP8" i="7" s="1"/>
  <c r="Z42" i="12"/>
  <c r="Z49" i="12" s="1"/>
  <c r="AN69" i="7"/>
  <c r="AP69" i="7" s="1"/>
  <c r="AL101" i="7"/>
  <c r="AH29" i="7"/>
  <c r="AN15" i="7"/>
  <c r="AP15" i="7" s="1"/>
  <c r="P29" i="7"/>
  <c r="AN15" i="12"/>
  <c r="AP15" i="12" s="1"/>
  <c r="AL15" i="12"/>
  <c r="AL9" i="7"/>
  <c r="AL97" i="7"/>
  <c r="D41" i="7"/>
  <c r="D60" i="7" s="1"/>
  <c r="AL69" i="7"/>
  <c r="AN18" i="12"/>
  <c r="AP18" i="12" s="1"/>
  <c r="AL87" i="7"/>
  <c r="AL66" i="7"/>
  <c r="AN35" i="7"/>
  <c r="AP35" i="7" s="1"/>
  <c r="N58" i="12"/>
  <c r="T20" i="12"/>
  <c r="T29" i="12" s="1"/>
  <c r="AN82" i="7"/>
  <c r="AP82" i="7" s="1"/>
  <c r="AL55" i="7"/>
  <c r="AL38" i="7"/>
  <c r="D20" i="12"/>
  <c r="D29" i="12" s="1"/>
  <c r="AN99" i="7"/>
  <c r="AP99" i="7" s="1"/>
  <c r="AL35" i="7"/>
  <c r="P34" i="12"/>
  <c r="AH34" i="12" s="1"/>
  <c r="AL11" i="7"/>
  <c r="AL71" i="7"/>
  <c r="H121" i="7"/>
  <c r="H123" i="7" s="1"/>
  <c r="AL90" i="7"/>
  <c r="T41" i="7"/>
  <c r="T60" i="7" s="1"/>
  <c r="AL18" i="12"/>
  <c r="N49" i="12"/>
  <c r="AJ119" i="7"/>
  <c r="AF17" i="12"/>
  <c r="AJ17" i="12" s="1"/>
  <c r="AN55" i="7"/>
  <c r="AP55" i="7" s="1"/>
  <c r="AL110" i="7"/>
  <c r="H49" i="12"/>
  <c r="H58" i="12"/>
  <c r="AF119" i="7"/>
  <c r="AJ29" i="7"/>
  <c r="AN87" i="7"/>
  <c r="AP87" i="7" s="1"/>
  <c r="V19" i="12"/>
  <c r="V41" i="7"/>
  <c r="V60" i="7" s="1"/>
  <c r="AF39" i="7"/>
  <c r="AN66" i="7"/>
  <c r="AP66" i="7" s="1"/>
  <c r="AL12" i="12"/>
  <c r="AN12" i="7"/>
  <c r="AP12" i="7" s="1"/>
  <c r="AN38" i="7"/>
  <c r="AP38" i="7" s="1"/>
  <c r="AL8" i="7"/>
  <c r="AF45" i="12"/>
  <c r="AJ45" i="12" s="1"/>
  <c r="R47" i="12"/>
  <c r="N121" i="7"/>
  <c r="N123" i="7" s="1"/>
  <c r="Z104" i="7"/>
  <c r="P41" i="12"/>
  <c r="AH41" i="12" s="1"/>
  <c r="AN41" i="12" s="1"/>
  <c r="AP41" i="12" s="1"/>
  <c r="AD60" i="7"/>
  <c r="AD23" i="12"/>
  <c r="AD25" i="12" s="1"/>
  <c r="AD29" i="12" s="1"/>
  <c r="P24" i="12"/>
  <c r="AH24" i="12" s="1"/>
  <c r="AL24" i="12" s="1"/>
  <c r="P40" i="12"/>
  <c r="AH40" i="12" s="1"/>
  <c r="AL40" i="12" s="1"/>
  <c r="R121" i="7"/>
  <c r="AL13" i="12"/>
  <c r="T42" i="12"/>
  <c r="T58" i="12" s="1"/>
  <c r="B20" i="12"/>
  <c r="P39" i="7"/>
  <c r="AH39" i="7"/>
  <c r="AN116" i="7"/>
  <c r="AP116" i="7" s="1"/>
  <c r="P134" i="7"/>
  <c r="AN44" i="7"/>
  <c r="AP44" i="7" s="1"/>
  <c r="X104" i="7"/>
  <c r="X121" i="7"/>
  <c r="X122" i="7" s="1"/>
  <c r="AN110" i="7"/>
  <c r="AP110" i="7" s="1"/>
  <c r="AL78" i="7"/>
  <c r="AN49" i="7"/>
  <c r="AP49" i="7" s="1"/>
  <c r="AL49" i="7"/>
  <c r="AH56" i="7"/>
  <c r="AL44" i="7"/>
  <c r="AN24" i="7"/>
  <c r="AP24" i="7" s="1"/>
  <c r="P56" i="7"/>
  <c r="AL47" i="7"/>
  <c r="AN52" i="7"/>
  <c r="AP52" i="7" s="1"/>
  <c r="P37" i="12"/>
  <c r="AH37" i="12" s="1"/>
  <c r="AL116" i="7"/>
  <c r="F121" i="7"/>
  <c r="F123" i="7" s="1"/>
  <c r="AN71" i="7"/>
  <c r="AP71" i="7" s="1"/>
  <c r="F60" i="7"/>
  <c r="AN11" i="7"/>
  <c r="AP11" i="7" s="1"/>
  <c r="B56" i="12"/>
  <c r="AL70" i="7"/>
  <c r="AN16" i="12"/>
  <c r="AP16" i="12" s="1"/>
  <c r="P19" i="12"/>
  <c r="AH19" i="12" s="1"/>
  <c r="P119" i="7"/>
  <c r="B41" i="7"/>
  <c r="B60" i="7" s="1"/>
  <c r="B47" i="12"/>
  <c r="P46" i="12"/>
  <c r="AH100" i="7"/>
  <c r="P102" i="7"/>
  <c r="B104" i="7"/>
  <c r="B121" i="7"/>
  <c r="B123" i="7" s="1"/>
  <c r="AL45" i="7"/>
  <c r="AN45" i="7"/>
  <c r="AP45" i="7" s="1"/>
  <c r="P53" i="12"/>
  <c r="AH53" i="12" s="1"/>
  <c r="F69" i="8"/>
  <c r="J25" i="12"/>
  <c r="J29" i="12" s="1"/>
  <c r="N23" i="12"/>
  <c r="N25" i="12" s="1"/>
  <c r="N29" i="12" s="1"/>
  <c r="N60" i="7"/>
  <c r="AF55" i="12"/>
  <c r="AJ55" i="12" s="1"/>
  <c r="R56" i="12"/>
  <c r="AL73" i="7"/>
  <c r="AN73" i="7"/>
  <c r="AP73" i="7" s="1"/>
  <c r="V42" i="12"/>
  <c r="AF34" i="12"/>
  <c r="AJ10" i="12"/>
  <c r="AL54" i="7"/>
  <c r="AN54" i="7"/>
  <c r="AP54" i="7" s="1"/>
  <c r="AN13" i="12"/>
  <c r="AP13" i="12" s="1"/>
  <c r="AL38" i="12"/>
  <c r="AN38" i="12"/>
  <c r="AP38" i="12" s="1"/>
  <c r="P36" i="12"/>
  <c r="AH36" i="12" s="1"/>
  <c r="B42" i="12"/>
  <c r="AN112" i="7"/>
  <c r="AP112" i="7" s="1"/>
  <c r="AL112" i="7"/>
  <c r="AN39" i="12"/>
  <c r="AP39" i="12" s="1"/>
  <c r="AL39" i="12"/>
  <c r="AF102" i="7"/>
  <c r="AJ98" i="7"/>
  <c r="P94" i="7"/>
  <c r="AL35" i="12"/>
  <c r="AN35" i="12"/>
  <c r="AP35" i="12" s="1"/>
  <c r="T104" i="7"/>
  <c r="R20" i="12"/>
  <c r="AN14" i="7"/>
  <c r="AP14" i="7" s="1"/>
  <c r="AL14" i="7"/>
  <c r="AH10" i="12"/>
  <c r="AB23" i="12"/>
  <c r="AB25" i="12" s="1"/>
  <c r="AB29" i="12" s="1"/>
  <c r="AB60" i="7"/>
  <c r="AL118" i="7"/>
  <c r="AN118" i="7"/>
  <c r="AP118" i="7" s="1"/>
  <c r="D121" i="7"/>
  <c r="D104" i="7"/>
  <c r="X58" i="12"/>
  <c r="AH33" i="12"/>
  <c r="AL16" i="7"/>
  <c r="AN16" i="7"/>
  <c r="AP16" i="7" s="1"/>
  <c r="AD121" i="7"/>
  <c r="AD104" i="7"/>
  <c r="AL68" i="7"/>
  <c r="AN68" i="7"/>
  <c r="AP68" i="7" s="1"/>
  <c r="AH94" i="7"/>
  <c r="AF56" i="7"/>
  <c r="V104" i="7"/>
  <c r="V121" i="7"/>
  <c r="F23" i="12"/>
  <c r="F25" i="12" s="1"/>
  <c r="AH52" i="12"/>
  <c r="AB49" i="12"/>
  <c r="R23" i="12"/>
  <c r="B25" i="12"/>
  <c r="AD47" i="12"/>
  <c r="AF46" i="12"/>
  <c r="AJ56" i="7"/>
  <c r="AN46" i="7"/>
  <c r="AP46" i="7" s="1"/>
  <c r="AL46" i="7"/>
  <c r="AN27" i="12"/>
  <c r="AP27" i="12" s="1"/>
  <c r="AL27" i="12"/>
  <c r="AF37" i="12"/>
  <c r="AJ37" i="12" s="1"/>
  <c r="R42" i="12"/>
  <c r="R49" i="12" s="1"/>
  <c r="AJ65" i="7"/>
  <c r="AF94" i="7"/>
  <c r="P17" i="12"/>
  <c r="AH17" i="12" s="1"/>
  <c r="AL11" i="12"/>
  <c r="AN11" i="12"/>
  <c r="AP11" i="12" s="1"/>
  <c r="AL52" i="7"/>
  <c r="F29" i="12" l="1"/>
  <c r="AL7" i="7"/>
  <c r="H59" i="12"/>
  <c r="X59" i="12"/>
  <c r="B122" i="7"/>
  <c r="F122" i="7"/>
  <c r="N122" i="7"/>
  <c r="Z122" i="7"/>
  <c r="D58" i="12"/>
  <c r="D59" i="12" s="1"/>
  <c r="D122" i="7"/>
  <c r="J58" i="12"/>
  <c r="N59" i="12"/>
  <c r="AF53" i="12"/>
  <c r="AJ53" i="12" s="1"/>
  <c r="AJ56" i="12" s="1"/>
  <c r="AJ41" i="7"/>
  <c r="AJ60" i="7" s="1"/>
  <c r="AN39" i="7"/>
  <c r="AP39" i="7" s="1"/>
  <c r="F58" i="12"/>
  <c r="F59" i="12" s="1"/>
  <c r="AN14" i="12"/>
  <c r="AP14" i="12" s="1"/>
  <c r="H122" i="7"/>
  <c r="AL109" i="7"/>
  <c r="AL119" i="7" s="1"/>
  <c r="AN109" i="7"/>
  <c r="AP109" i="7" s="1"/>
  <c r="L62" i="12"/>
  <c r="AL39" i="7"/>
  <c r="L122" i="7"/>
  <c r="AF41" i="7"/>
  <c r="AF60" i="7" s="1"/>
  <c r="T59" i="12"/>
  <c r="AF121" i="7"/>
  <c r="Z58" i="12"/>
  <c r="Z59" i="12" s="1"/>
  <c r="AB122" i="7"/>
  <c r="AN24" i="12"/>
  <c r="AP24" i="12" s="1"/>
  <c r="AL29" i="7"/>
  <c r="T49" i="12"/>
  <c r="L59" i="12"/>
  <c r="H62" i="12"/>
  <c r="AL41" i="12"/>
  <c r="V122" i="7"/>
  <c r="T122" i="7"/>
  <c r="R122" i="7"/>
  <c r="AN119" i="7"/>
  <c r="AP119" i="7" s="1"/>
  <c r="AN40" i="12"/>
  <c r="AP40" i="12" s="1"/>
  <c r="N62" i="12"/>
  <c r="AN45" i="12"/>
  <c r="AP45" i="12" s="1"/>
  <c r="AL45" i="12"/>
  <c r="AD122" i="7"/>
  <c r="AB59" i="12"/>
  <c r="AN56" i="7"/>
  <c r="AP56" i="7" s="1"/>
  <c r="P41" i="7"/>
  <c r="P60" i="7" s="1"/>
  <c r="D123" i="7"/>
  <c r="AF19" i="12"/>
  <c r="V20" i="12"/>
  <c r="V29" i="12" s="1"/>
  <c r="B49" i="12"/>
  <c r="P56" i="12"/>
  <c r="P42" i="12"/>
  <c r="P104" i="7"/>
  <c r="B58" i="12"/>
  <c r="AL100" i="7"/>
  <c r="AN100" i="7"/>
  <c r="AP100" i="7" s="1"/>
  <c r="AH102" i="7"/>
  <c r="AH121" i="7" s="1"/>
  <c r="AL56" i="7"/>
  <c r="P47" i="12"/>
  <c r="AH46" i="12"/>
  <c r="AH47" i="12" s="1"/>
  <c r="AH20" i="12"/>
  <c r="AN10" i="12"/>
  <c r="AP10" i="12" s="1"/>
  <c r="AL10" i="12"/>
  <c r="P121" i="7"/>
  <c r="P123" i="7" s="1"/>
  <c r="R58" i="12"/>
  <c r="AN65" i="7"/>
  <c r="AP65" i="7" s="1"/>
  <c r="AJ94" i="7"/>
  <c r="AN94" i="7" s="1"/>
  <c r="AP94" i="7" s="1"/>
  <c r="AL65" i="7"/>
  <c r="AL94" i="7" s="1"/>
  <c r="AN17" i="12"/>
  <c r="AP17" i="12" s="1"/>
  <c r="AL17" i="12"/>
  <c r="AN37" i="12"/>
  <c r="AP37" i="12" s="1"/>
  <c r="AL37" i="12"/>
  <c r="AF47" i="12"/>
  <c r="AJ46" i="12"/>
  <c r="B26" i="12"/>
  <c r="B29" i="12"/>
  <c r="AL33" i="12"/>
  <c r="AH42" i="12"/>
  <c r="P20" i="12"/>
  <c r="AL98" i="7"/>
  <c r="AJ102" i="7"/>
  <c r="AN98" i="7"/>
  <c r="AP98" i="7" s="1"/>
  <c r="AJ34" i="12"/>
  <c r="AF42" i="12"/>
  <c r="AF43" i="12" s="1"/>
  <c r="AN55" i="12"/>
  <c r="AP55" i="12" s="1"/>
  <c r="AL55" i="12"/>
  <c r="AN29" i="7"/>
  <c r="AP29" i="7" s="1"/>
  <c r="AH41" i="7"/>
  <c r="AD49" i="12"/>
  <c r="AD58" i="12"/>
  <c r="AD59" i="12" s="1"/>
  <c r="P23" i="12"/>
  <c r="AF23" i="12"/>
  <c r="R25" i="12"/>
  <c r="R29" i="12" s="1"/>
  <c r="AN52" i="12"/>
  <c r="AP52" i="12" s="1"/>
  <c r="AL52" i="12"/>
  <c r="AH56" i="12"/>
  <c r="AF104" i="7"/>
  <c r="AN36" i="12"/>
  <c r="AP36" i="12" s="1"/>
  <c r="AL36" i="12"/>
  <c r="V49" i="12"/>
  <c r="V58" i="12"/>
  <c r="J59" i="12" l="1"/>
  <c r="J62" i="12"/>
  <c r="D62" i="12"/>
  <c r="AN53" i="12"/>
  <c r="AP53" i="12" s="1"/>
  <c r="AL53" i="12"/>
  <c r="AL56" i="12" s="1"/>
  <c r="AF56" i="12"/>
  <c r="AF58" i="12" s="1"/>
  <c r="F62" i="12"/>
  <c r="B62" i="12"/>
  <c r="B59" i="12"/>
  <c r="AL41" i="7"/>
  <c r="AL60" i="7" s="1"/>
  <c r="AF122" i="7"/>
  <c r="V59" i="12"/>
  <c r="AJ19" i="12"/>
  <c r="AF20" i="12"/>
  <c r="AL102" i="7"/>
  <c r="AL121" i="7" s="1"/>
  <c r="AH104" i="7"/>
  <c r="P122" i="7"/>
  <c r="P58" i="12"/>
  <c r="P62" i="12" s="1"/>
  <c r="P49" i="12"/>
  <c r="R59" i="12"/>
  <c r="AH58" i="12"/>
  <c r="AN56" i="12"/>
  <c r="AP56" i="12" s="1"/>
  <c r="AF25" i="12"/>
  <c r="AJ23" i="12"/>
  <c r="AJ25" i="12" s="1"/>
  <c r="AN34" i="12"/>
  <c r="AP34" i="12" s="1"/>
  <c r="AL34" i="12"/>
  <c r="AL42" i="12" s="1"/>
  <c r="AJ42" i="12"/>
  <c r="AH49" i="12"/>
  <c r="AF49" i="12"/>
  <c r="AJ121" i="7"/>
  <c r="AN102" i="7"/>
  <c r="AP102" i="7" s="1"/>
  <c r="AJ104" i="7"/>
  <c r="AQ20" i="12"/>
  <c r="AH23" i="12"/>
  <c r="P25" i="12"/>
  <c r="P29" i="12" s="1"/>
  <c r="AQ41" i="7"/>
  <c r="AN41" i="7"/>
  <c r="AP41" i="7" s="1"/>
  <c r="AH60" i="7"/>
  <c r="AJ47" i="12"/>
  <c r="AL46" i="12"/>
  <c r="AL47" i="12" s="1"/>
  <c r="AN46" i="12"/>
  <c r="AP46" i="12" s="1"/>
  <c r="P59" i="12" l="1"/>
  <c r="AN104" i="7"/>
  <c r="AP104" i="7" s="1"/>
  <c r="AL104" i="7"/>
  <c r="AL19" i="12"/>
  <c r="AL20" i="12" s="1"/>
  <c r="AJ20" i="12"/>
  <c r="AN20" i="12" s="1"/>
  <c r="AP20" i="12" s="1"/>
  <c r="AN19" i="12"/>
  <c r="AP19" i="12" s="1"/>
  <c r="AJ49" i="12"/>
  <c r="AN49" i="12" s="1"/>
  <c r="AP49" i="12" s="1"/>
  <c r="AF29" i="12"/>
  <c r="AF59" i="12" s="1"/>
  <c r="AL122" i="7"/>
  <c r="AL49" i="12"/>
  <c r="AL58" i="12"/>
  <c r="AL61" i="12" s="1"/>
  <c r="AJ122" i="7"/>
  <c r="AN121" i="7"/>
  <c r="AN47" i="12"/>
  <c r="AP47" i="12" s="1"/>
  <c r="AJ58" i="12"/>
  <c r="AN58" i="12" s="1"/>
  <c r="AN60" i="7"/>
  <c r="AP60" i="7" s="1"/>
  <c r="AH122" i="7"/>
  <c r="AH25" i="12"/>
  <c r="AL23" i="12"/>
  <c r="AL25" i="12" s="1"/>
  <c r="AN23" i="12"/>
  <c r="AP23" i="12" s="1"/>
  <c r="AF62" i="12"/>
  <c r="AN42" i="12"/>
  <c r="AP42" i="12" s="1"/>
  <c r="AJ29" i="12" l="1"/>
  <c r="AJ59" i="12" s="1"/>
  <c r="AL29" i="12"/>
  <c r="AL59" i="12" s="1"/>
  <c r="AN25" i="12"/>
  <c r="AP25" i="12" s="1"/>
  <c r="AH29" i="12"/>
  <c r="AP58" i="12"/>
  <c r="AN122" i="7"/>
  <c r="AP121" i="7"/>
  <c r="AP122" i="7" s="1"/>
  <c r="AN29" i="12" l="1"/>
  <c r="AH59" i="12"/>
  <c r="AP29" i="12" l="1"/>
  <c r="AP59" i="12" s="1"/>
  <c r="AN59" i="12"/>
  <c r="P13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F13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ME-000009</t>
        </r>
      </text>
    </comment>
  </commentList>
</comments>
</file>

<file path=xl/sharedStrings.xml><?xml version="1.0" encoding="utf-8"?>
<sst xmlns="http://schemas.openxmlformats.org/spreadsheetml/2006/main" count="1659" uniqueCount="607">
  <si>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</si>
  <si>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</si>
  <si>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</si>
  <si>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</si>
  <si>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</si>
  <si>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</si>
  <si>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</si>
  <si>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</si>
  <si>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</si>
  <si>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</si>
  <si>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</si>
  <si>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</si>
  <si>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</si>
  <si>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</si>
  <si>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</si>
  <si>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</si>
  <si>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</si>
  <si>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</si>
  <si>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</si>
  <si>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</si>
  <si>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</si>
  <si>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</si>
  <si>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</si>
  <si>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</si>
  <si>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</si>
  <si>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</si>
  <si>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</si>
  <si>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</si>
  <si>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</si>
  <si>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</si>
  <si>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</si>
  <si>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</si>
  <si>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</si>
  <si>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</si>
  <si>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</si>
  <si>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</si>
  <si>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</si>
  <si>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</si>
  <si>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</si>
  <si>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</si>
  <si>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</si>
  <si>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</si>
  <si>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</si>
  <si>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</si>
  <si>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</si>
  <si>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</si>
  <si>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</si>
  <si>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</si>
  <si>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</si>
  <si>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</si>
  <si>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</si>
  <si>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</si>
  <si>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</si>
  <si>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</si>
  <si>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</si>
  <si>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</si>
  <si>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</si>
  <si>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</si>
  <si>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</si>
  <si>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</si>
  <si>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</si>
  <si>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</si>
  <si>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</si>
  <si>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</si>
  <si>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</si>
  <si>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</si>
  <si>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</si>
  <si>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</si>
  <si>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</si>
  <si>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</si>
  <si>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</si>
  <si>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</si>
  <si>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</si>
  <si>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</si>
  <si>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</si>
  <si>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</si>
  <si>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</si>
  <si>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</si>
  <si>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</si>
  <si>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</si>
  <si>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</si>
  <si>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</si>
  <si>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</si>
  <si>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</si>
  <si>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</si>
  <si>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</si>
  <si>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</si>
  <si>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</si>
  <si>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</si>
  <si>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</si>
  <si>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</si>
  <si>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</si>
  <si>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</si>
  <si>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</si>
  <si>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</si>
  <si>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</si>
  <si>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</si>
  <si>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</si>
  <si>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</si>
  <si>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</si>
  <si>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</si>
  <si>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</si>
  <si>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</si>
  <si>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</si>
  <si>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</si>
  <si>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</si>
  <si>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</si>
  <si>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</si>
  <si>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</si>
  <si>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</si>
  <si>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</si>
  <si>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</si>
  <si>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</si>
  <si>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</si>
  <si>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</si>
  <si>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</si>
  <si>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</si>
  <si>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</si>
  <si>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</si>
  <si>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</si>
  <si>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</si>
  <si>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</si>
  <si>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</si>
  <si>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</si>
  <si>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</si>
  <si>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</si>
  <si>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</si>
  <si>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</si>
  <si>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</si>
  <si>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</si>
  <si>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</si>
  <si>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</si>
  <si>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ACCRUED EXPENSES - ELECTRIC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</si>
  <si>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</si>
  <si>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</si>
  <si>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</si>
  <si>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</si>
  <si>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</si>
  <si>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</si>
  <si>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</si>
  <si>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</si>
  <si>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</si>
  <si>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</si>
  <si>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</si>
  <si>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</si>
  <si>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</si>
  <si>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</si>
  <si>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</si>
  <si>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</si>
  <si>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</si>
  <si>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</si>
  <si>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</si>
  <si>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</si>
  <si>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</si>
  <si>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</si>
  <si>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</si>
  <si>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</si>
  <si>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</si>
  <si>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</si>
  <si>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</si>
  <si>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</si>
  <si>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</si>
  <si>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</si>
  <si>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</si>
  <si>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</si>
  <si>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</si>
  <si>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</si>
  <si>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</si>
  <si>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</si>
  <si>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</si>
  <si>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</si>
  <si>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</si>
  <si>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</si>
  <si>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</si>
  <si>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</si>
  <si>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</si>
  <si>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</si>
  <si>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</si>
  <si>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</si>
  <si>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</si>
  <si>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</si>
  <si>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</si>
  <si>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</si>
  <si>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</si>
  <si>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</si>
  <si>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</si>
  <si>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</si>
  <si>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</si>
  <si>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</si>
  <si>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</si>
  <si>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</si>
  <si>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</si>
  <si>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</si>
  <si>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</si>
  <si>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</si>
  <si>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</si>
  <si>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</si>
  <si>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</si>
  <si>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</si>
  <si>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</si>
  <si>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</si>
  <si>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</si>
  <si>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</si>
  <si>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</si>
  <si>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</si>
  <si>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</si>
  <si>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</si>
  <si>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</si>
  <si>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</si>
  <si>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</si>
  <si>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</si>
  <si>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</si>
  <si>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</si>
  <si>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</si>
  <si>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</si>
  <si>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</si>
  <si>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</si>
  <si>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</si>
  <si>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</si>
  <si>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</si>
  <si>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</si>
  <si>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</si>
  <si>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</si>
  <si>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</si>
  <si>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</si>
  <si>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</si>
  <si>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</si>
  <si>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</si>
  <si>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</si>
  <si>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</si>
  <si>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</si>
  <si>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</si>
  <si>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</si>
  <si>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</si>
  <si>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</si>
  <si>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</si>
  <si>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</si>
  <si>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</si>
  <si>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</si>
  <si>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</si>
  <si>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</si>
  <si>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</si>
  <si>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</si>
  <si>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</si>
  <si>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</si>
  <si>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</si>
  <si>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</si>
  <si>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</si>
  <si>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</si>
  <si>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</si>
  <si>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</si>
  <si>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</si>
  <si>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</si>
  <si>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</si>
  <si>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</si>
  <si>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</si>
  <si>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</si>
  <si>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</si>
  <si>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</si>
  <si>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</si>
  <si>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</si>
  <si>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</si>
  <si>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</si>
  <si>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</si>
  <si>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</si>
  <si>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LIFO Reverve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</si>
  <si>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</si>
  <si>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</si>
  <si>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</si>
  <si>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</si>
  <si>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</si>
  <si>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</si>
  <si>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</si>
  <si>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</si>
  <si>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</si>
  <si>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</si>
  <si>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</si>
  <si>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</si>
  <si>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</si>
  <si>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</si>
  <si>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</si>
  <si>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</si>
  <si>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</si>
  <si>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</si>
  <si>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Store Equipments Depository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</si>
  <si>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</si>
  <si>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</si>
  <si>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</si>
  <si>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</si>
  <si>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</si>
  <si>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</si>
  <si>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</si>
  <si>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</si>
  <si>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</si>
  <si>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</si>
  <si>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</si>
  <si>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</si>
  <si>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</si>
  <si>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</si>
  <si>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</si>
  <si>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</si>
  <si>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</si>
  <si>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</si>
  <si>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</si>
  <si>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</si>
  <si>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</si>
  <si>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</si>
  <si>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</si>
  <si>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</si>
  <si>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</si>
  <si>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</si>
  <si>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</si>
  <si>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</si>
  <si>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</si>
  <si>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</si>
  <si>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</si>
  <si>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>Total Current Liabilites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</si>
  <si>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</si>
  <si>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</si>
  <si>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</si>
  <si>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</si>
  <si>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</si>
  <si>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</si>
  <si>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</si>
  <si>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</si>
  <si>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</si>
  <si>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</si>
  <si>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</si>
  <si>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</si>
  <si>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</si>
  <si>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</si>
  <si>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</si>
  <si>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</si>
  <si>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</si>
  <si>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</si>
  <si>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</si>
  <si>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</si>
  <si>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</si>
  <si>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</si>
  <si>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Total Change 2017 to 2018</t>
  </si>
  <si>
    <t>2017 YTD to 2018 YTD %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</si>
  <si>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</si>
  <si>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</si>
  <si>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</si>
  <si>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</si>
  <si>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</si>
  <si>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</si>
  <si>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</si>
  <si>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</si>
  <si>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</si>
  <si>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</si>
  <si>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</si>
  <si>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</si>
  <si>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</si>
  <si>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</si>
  <si>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</si>
  <si>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</si>
  <si>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</si>
  <si>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</si>
  <si>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</si>
  <si>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</si>
  <si>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</si>
  <si>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</si>
  <si>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</si>
  <si>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</si>
  <si>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</si>
  <si>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</si>
  <si>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</si>
  <si>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</si>
  <si>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</si>
  <si>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</si>
  <si>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</si>
  <si>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</si>
  <si>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</si>
  <si>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</si>
  <si>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</si>
  <si>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</si>
  <si>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</si>
  <si>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</si>
  <si>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</si>
  <si>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</si>
  <si>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</si>
  <si>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</si>
  <si>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</si>
  <si>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</si>
  <si>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</si>
  <si>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</si>
  <si>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</si>
  <si>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</si>
  <si>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</si>
  <si>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</si>
  <si>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</si>
  <si>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</si>
  <si>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</si>
  <si>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</si>
  <si>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</si>
  <si>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</si>
  <si>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</si>
  <si>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</si>
  <si>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</si>
  <si>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</si>
  <si>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</si>
  <si>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</si>
  <si>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</si>
  <si>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</si>
  <si>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</si>
  <si>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</si>
  <si>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</si>
  <si>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</si>
  <si>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</si>
  <si>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</si>
  <si>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</si>
  <si>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</si>
  <si>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</si>
  <si>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</si>
  <si>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</si>
  <si>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</si>
  <si>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</si>
  <si>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</si>
  <si>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</si>
  <si>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</si>
  <si>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</si>
  <si>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</si>
  <si>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</si>
  <si>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</si>
  <si>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</si>
  <si>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</si>
  <si>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</si>
  <si>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</si>
  <si>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</si>
  <si>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</si>
  <si>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</si>
  <si>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</si>
  <si>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</si>
  <si>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</si>
  <si>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</si>
  <si>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</si>
  <si>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</si>
  <si>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</si>
  <si>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</si>
  <si>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</si>
  <si>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</si>
  <si>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</si>
  <si>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</si>
  <si>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</si>
  <si>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</si>
  <si>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</si>
  <si>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</si>
  <si>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</si>
  <si>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</si>
  <si>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</si>
  <si>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</si>
  <si>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</si>
  <si>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</si>
  <si>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</si>
  <si>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</si>
  <si>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</si>
  <si>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</si>
  <si>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</si>
  <si>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</si>
  <si>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</si>
  <si>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</si>
  <si>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</si>
  <si>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</si>
  <si>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</si>
  <si>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</si>
  <si>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</si>
  <si>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</si>
  <si>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</si>
  <si>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</si>
  <si>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</si>
  <si>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</si>
  <si>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</si>
  <si>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</si>
  <si>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</si>
  <si>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</si>
  <si>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</si>
  <si>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</si>
  <si>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</si>
  <si>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</si>
  <si>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</si>
  <si>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</si>
  <si>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</si>
  <si>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</si>
  <si>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</si>
  <si>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</si>
  <si>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</si>
  <si>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</si>
  <si>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</si>
  <si>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</si>
  <si>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</si>
  <si>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</si>
  <si>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</si>
  <si>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</si>
  <si>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</si>
  <si>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</si>
  <si>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</si>
  <si>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</si>
  <si>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</si>
  <si>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</si>
  <si>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</si>
  <si>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</si>
  <si>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</si>
  <si>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</si>
  <si>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</si>
  <si>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</si>
  <si>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</si>
  <si>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</si>
  <si>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</si>
  <si>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</si>
  <si>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</si>
  <si>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</si>
  <si>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</si>
  <si>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</si>
  <si>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</si>
  <si>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</si>
  <si>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As of 6.30.17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</si>
  <si>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</si>
  <si>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</si>
  <si>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</si>
  <si>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</si>
  <si>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</si>
  <si>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</si>
  <si>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</si>
  <si>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</si>
  <si>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</si>
  <si>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</si>
  <si>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</si>
  <si>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</si>
  <si>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</si>
  <si>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</si>
  <si>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</si>
  <si>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</si>
  <si>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</si>
  <si>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</si>
  <si>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</si>
  <si>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</si>
  <si>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</si>
  <si>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</si>
  <si>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</si>
  <si>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</si>
  <si>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</si>
  <si>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</si>
  <si>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</si>
  <si>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</si>
  <si>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</si>
  <si>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</si>
  <si>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</si>
  <si>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</si>
  <si>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</si>
  <si>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</si>
  <si>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</si>
  <si>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</si>
  <si>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</si>
  <si>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</si>
  <si>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</si>
  <si>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</si>
  <si>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</si>
  <si>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</si>
  <si>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</si>
  <si>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</si>
  <si>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</si>
  <si>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</si>
  <si>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</si>
  <si>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</si>
  <si>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</si>
  <si>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</si>
  <si>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</si>
  <si>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</si>
  <si>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</si>
  <si>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</si>
  <si>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</si>
  <si>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</si>
  <si>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</si>
  <si>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</si>
  <si>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</si>
  <si>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</si>
  <si>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</si>
  <si>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Due form CNT, Inc</t>
  </si>
  <si>
    <t>Minting Department</t>
  </si>
  <si>
    <t>2500 - Due to CNT Depository, Inc</t>
  </si>
  <si>
    <t>DUE TO 722 BEDFORD STREET LLC</t>
  </si>
  <si>
    <t>DUE TO OLIARI CO LLC</t>
  </si>
  <si>
    <t>126 - Due form BPM</t>
  </si>
  <si>
    <t>As of 10/31/2018</t>
  </si>
  <si>
    <t>For Period 10/31/2018 &amp; 10/31/2017</t>
  </si>
  <si>
    <t>As of 10/31/2017</t>
  </si>
  <si>
    <t>CNT Lending 10/31/2018</t>
  </si>
  <si>
    <t>10/31/2018</t>
  </si>
  <si>
    <t>10/31/2017</t>
  </si>
  <si>
    <t>CNT Lending 10.31.17</t>
  </si>
  <si>
    <t>10.31.17</t>
  </si>
  <si>
    <t>1450 . Fans - Industrial</t>
  </si>
  <si>
    <t>Solar Project</t>
  </si>
  <si>
    <t>Due to DEP</t>
  </si>
  <si>
    <t>320 . Distributions</t>
  </si>
  <si>
    <t>321 . Distributions - Paul Oliari</t>
  </si>
  <si>
    <t>321 . Distributions - Danielle Oliari</t>
  </si>
  <si>
    <t>321 . Distributions - Stephanie Oliari</t>
  </si>
  <si>
    <t>ACCRUED eBay FEES</t>
  </si>
  <si>
    <t>INVENTORY - SHIPPING SUPPLIES</t>
  </si>
  <si>
    <t>DUE FROM OLIARI CO., LLC</t>
  </si>
  <si>
    <t>M225</t>
  </si>
  <si>
    <t>MINTING - ACCRUED OTHER</t>
  </si>
  <si>
    <t>PREPAID ADVERTISEMENT</t>
  </si>
  <si>
    <t xml:space="preserve">     Prepaid Advertisement</t>
  </si>
  <si>
    <t xml:space="preserve">     Minting - Accrued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</si>
</sst>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2" fillId="0" borderId="0"/>
    <xf numFmtId="9" fontId="1" fillId="0" borderId="0" applyFont="0" applyFill="0" applyBorder="0" applyAlignment="0" applyProtection="0">
      <alignment vertical="top"/>
    </xf>
  </cellStyleXfs>
  <cellXfs count="189">
    <xf numFmtId="0" fontId="0" fillId="0" borderId="0" xfId="0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66" fontId="3" fillId="0" borderId="0" xfId="0" applyNumberFormat="1" applyFont="1" applyAlignment="1">
      <alignment horizontal="left" vertical="top"/>
    </xf>
    <xf numFmtId="0" fontId="0" fillId="0" borderId="0" xfId="0" applyBorder="1">
      <alignment vertical="top"/>
    </xf>
    <xf numFmtId="0" fontId="4" fillId="0" borderId="0" xfId="0" applyFont="1" applyAlignment="1">
      <alignment vertical="top"/>
    </xf>
    <xf numFmtId="0" fontId="13" fillId="0" borderId="0" xfId="0" applyFont="1">
      <alignment vertical="top"/>
    </xf>
    <xf numFmtId="43" fontId="13" fillId="0" borderId="0" xfId="1" applyFont="1">
      <alignment vertical="top"/>
    </xf>
    <xf numFmtId="49" fontId="14" fillId="0" borderId="0" xfId="0" applyNumberFormat="1" applyFont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4" fillId="0" borderId="0" xfId="0" applyNumberFormat="1" applyFont="1" applyAlignment="1"/>
    <xf numFmtId="167" fontId="15" fillId="0" borderId="0" xfId="0" applyNumberFormat="1" applyFont="1" applyAlignment="1"/>
    <xf numFmtId="0" fontId="0" fillId="0" borderId="0" xfId="0" applyAlignment="1"/>
    <xf numFmtId="167" fontId="15" fillId="0" borderId="0" xfId="0" applyNumberFormat="1" applyFont="1" applyBorder="1" applyAlignment="1"/>
    <xf numFmtId="167" fontId="15" fillId="0" borderId="3" xfId="0" applyNumberFormat="1" applyFont="1" applyBorder="1" applyAlignment="1"/>
    <xf numFmtId="167" fontId="15" fillId="0" borderId="4" xfId="0" applyNumberFormat="1" applyFont="1" applyBorder="1" applyAlignment="1"/>
    <xf numFmtId="49" fontId="16" fillId="0" borderId="0" xfId="0" applyNumberFormat="1" applyFont="1" applyAlignment="1"/>
    <xf numFmtId="167" fontId="16" fillId="0" borderId="5" xfId="0" applyNumberFormat="1" applyFont="1" applyBorder="1" applyAlignment="1"/>
    <xf numFmtId="0" fontId="16" fillId="0" borderId="0" xfId="0" applyFont="1" applyAlignment="1"/>
    <xf numFmtId="0" fontId="14" fillId="0" borderId="0" xfId="0" applyNumberFormat="1" applyFont="1" applyAlignment="1"/>
    <xf numFmtId="0" fontId="0" fillId="0" borderId="0" xfId="0" applyNumberFormat="1" applyAlignment="1"/>
    <xf numFmtId="9" fontId="13" fillId="0" borderId="0" xfId="1" applyNumberFormat="1" applyFont="1">
      <alignment vertical="top"/>
    </xf>
    <xf numFmtId="0" fontId="4" fillId="0" borderId="0" xfId="0" applyFont="1" applyAlignment="1">
      <alignment horizontal="left" vertical="top"/>
    </xf>
    <xf numFmtId="0" fontId="14" fillId="0" borderId="0" xfId="0" applyNumberFormat="1" applyFont="1" applyAlignment="1">
      <alignment horizontal="right"/>
    </xf>
    <xf numFmtId="49" fontId="14" fillId="2" borderId="2" xfId="0" applyNumberFormat="1" applyFont="1" applyFill="1" applyBorder="1" applyAlignment="1">
      <alignment horizontal="center"/>
    </xf>
    <xf numFmtId="167" fontId="15" fillId="2" borderId="0" xfId="0" applyNumberFormat="1" applyFont="1" applyFill="1" applyAlignment="1"/>
    <xf numFmtId="167" fontId="15" fillId="2" borderId="0" xfId="0" applyNumberFormat="1" applyFont="1" applyFill="1" applyBorder="1" applyAlignment="1"/>
    <xf numFmtId="167" fontId="15" fillId="2" borderId="3" xfId="0" applyNumberFormat="1" applyFont="1" applyFill="1" applyBorder="1" applyAlignment="1"/>
    <xf numFmtId="167" fontId="15" fillId="2" borderId="6" xfId="0" applyNumberFormat="1" applyFont="1" applyFill="1" applyBorder="1" applyAlignment="1"/>
    <xf numFmtId="167" fontId="15" fillId="2" borderId="4" xfId="0" applyNumberFormat="1" applyFont="1" applyFill="1" applyBorder="1" applyAlignment="1"/>
    <xf numFmtId="167" fontId="16" fillId="2" borderId="5" xfId="0" applyNumberFormat="1" applyFont="1" applyFill="1" applyBorder="1" applyAlignment="1"/>
    <xf numFmtId="0" fontId="0" fillId="2" borderId="0" xfId="0" applyNumberFormat="1" applyFill="1" applyAlignment="1"/>
    <xf numFmtId="39" fontId="0" fillId="2" borderId="0" xfId="0" applyNumberFormat="1" applyFill="1" applyAlignment="1"/>
    <xf numFmtId="49" fontId="14" fillId="0" borderId="0" xfId="0" applyNumberFormat="1" applyFont="1" applyAlignment="1">
      <alignment horizontal="right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0" fillId="0" borderId="0" xfId="0" applyFill="1" applyBorder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168" fontId="3" fillId="0" borderId="0" xfId="0" applyNumberFormat="1" applyFont="1" applyAlignment="1">
      <alignment horizontal="right" vertical="top" wrapText="1" readingOrder="1"/>
    </xf>
    <xf numFmtId="164" fontId="4" fillId="0" borderId="7" xfId="0" applyNumberFormat="1" applyFont="1" applyBorder="1" applyAlignment="1">
      <alignment horizontal="right" vertical="top"/>
    </xf>
    <xf numFmtId="168" fontId="0" fillId="0" borderId="0" xfId="0" applyNumberFormat="1">
      <alignment vertical="top"/>
    </xf>
    <xf numFmtId="0" fontId="6" fillId="0" borderId="0" xfId="0" applyFont="1" applyAlignment="1">
      <alignment horizontal="left" vertical="top"/>
    </xf>
    <xf numFmtId="0" fontId="13" fillId="0" borderId="0" xfId="0" applyFont="1" applyFill="1">
      <alignment vertical="top"/>
    </xf>
    <xf numFmtId="43" fontId="13" fillId="0" borderId="0" xfId="1" applyFont="1" applyFill="1">
      <alignment vertical="top"/>
    </xf>
    <xf numFmtId="44" fontId="13" fillId="0" borderId="0" xfId="2" applyFont="1" applyFill="1">
      <alignment vertical="top"/>
    </xf>
    <xf numFmtId="0" fontId="17" fillId="0" borderId="0" xfId="0" applyFont="1">
      <alignment vertical="top"/>
    </xf>
    <xf numFmtId="0" fontId="18" fillId="0" borderId="0" xfId="0" applyFont="1" applyFill="1">
      <alignment vertical="top"/>
    </xf>
    <xf numFmtId="44" fontId="18" fillId="0" borderId="0" xfId="2" applyFont="1" applyFill="1">
      <alignment vertical="top"/>
    </xf>
    <xf numFmtId="0" fontId="17" fillId="0" borderId="0" xfId="0" applyFont="1" applyFill="1">
      <alignment vertical="top"/>
    </xf>
    <xf numFmtId="0" fontId="18" fillId="0" borderId="0" xfId="0" applyFont="1">
      <alignment vertical="top"/>
    </xf>
    <xf numFmtId="0" fontId="18" fillId="0" borderId="0" xfId="0" applyFont="1" applyAlignment="1"/>
    <xf numFmtId="43" fontId="18" fillId="0" borderId="0" xfId="1" applyFont="1" applyFill="1">
      <alignment vertical="top"/>
    </xf>
    <xf numFmtId="0" fontId="18" fillId="0" borderId="0" xfId="0" applyFont="1" applyFill="1" applyAlignment="1"/>
    <xf numFmtId="43" fontId="18" fillId="0" borderId="0" xfId="1" applyFont="1">
      <alignment vertical="top"/>
    </xf>
    <xf numFmtId="9" fontId="18" fillId="0" borderId="0" xfId="6" applyFont="1" applyBorder="1" applyAlignment="1">
      <alignment horizontal="center" vertical="top"/>
    </xf>
    <xf numFmtId="9" fontId="18" fillId="0" borderId="0" xfId="0" applyNumberFormat="1" applyFont="1" applyAlignment="1">
      <alignment horizontal="center" vertical="top"/>
    </xf>
    <xf numFmtId="43" fontId="18" fillId="0" borderId="0" xfId="1" applyFont="1" applyFill="1" applyBorder="1">
      <alignment vertical="top"/>
    </xf>
    <xf numFmtId="0" fontId="18" fillId="0" borderId="0" xfId="0" applyFont="1" applyFill="1" applyBorder="1">
      <alignment vertical="top"/>
    </xf>
    <xf numFmtId="43" fontId="18" fillId="0" borderId="0" xfId="1" applyFont="1" applyBorder="1">
      <alignment vertical="top"/>
    </xf>
    <xf numFmtId="0" fontId="18" fillId="0" borderId="0" xfId="0" applyFont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43" fontId="18" fillId="0" borderId="7" xfId="1" applyFont="1" applyFill="1" applyBorder="1">
      <alignment vertical="top"/>
    </xf>
    <xf numFmtId="0" fontId="18" fillId="0" borderId="7" xfId="0" applyFont="1" applyFill="1" applyBorder="1">
      <alignment vertical="top"/>
    </xf>
    <xf numFmtId="43" fontId="18" fillId="0" borderId="7" xfId="1" applyFont="1" applyBorder="1">
      <alignment vertical="top"/>
    </xf>
    <xf numFmtId="0" fontId="18" fillId="0" borderId="0" xfId="0" applyFont="1" applyAlignment="1">
      <alignment horizontal="right" vertical="top"/>
    </xf>
    <xf numFmtId="0" fontId="18" fillId="0" borderId="0" xfId="0" applyFont="1" applyFill="1" applyAlignment="1">
      <alignment horizontal="right" vertical="top"/>
    </xf>
    <xf numFmtId="44" fontId="18" fillId="0" borderId="0" xfId="2" applyFont="1">
      <alignment vertical="top"/>
    </xf>
    <xf numFmtId="0" fontId="18" fillId="0" borderId="0" xfId="0" applyFont="1" applyAlignment="1">
      <alignment horizontal="center" vertical="top"/>
    </xf>
    <xf numFmtId="0" fontId="17" fillId="0" borderId="0" xfId="0" applyFont="1" applyAlignment="1">
      <alignment horizontal="right" vertical="top"/>
    </xf>
    <xf numFmtId="43" fontId="18" fillId="0" borderId="8" xfId="1" applyFont="1" applyFill="1" applyBorder="1">
      <alignment vertical="top"/>
    </xf>
    <xf numFmtId="0" fontId="17" fillId="0" borderId="0" xfId="0" applyFont="1" applyFill="1" applyAlignment="1">
      <alignment horizontal="right" vertical="top"/>
    </xf>
    <xf numFmtId="43" fontId="18" fillId="0" borderId="8" xfId="1" applyFont="1" applyBorder="1">
      <alignment vertical="top"/>
    </xf>
    <xf numFmtId="43" fontId="18" fillId="0" borderId="0" xfId="0" applyNumberFormat="1" applyFont="1">
      <alignment vertical="top"/>
    </xf>
    <xf numFmtId="43" fontId="18" fillId="0" borderId="0" xfId="0" applyNumberFormat="1" applyFont="1" applyFill="1">
      <alignment vertical="top"/>
    </xf>
    <xf numFmtId="43" fontId="17" fillId="0" borderId="9" xfId="1" applyFont="1" applyFill="1" applyBorder="1">
      <alignment vertical="top"/>
    </xf>
    <xf numFmtId="44" fontId="17" fillId="0" borderId="9" xfId="2" applyFont="1" applyFill="1" applyBorder="1">
      <alignment vertical="top"/>
    </xf>
    <xf numFmtId="43" fontId="17" fillId="0" borderId="9" xfId="1" applyFont="1" applyBorder="1">
      <alignment vertical="top"/>
    </xf>
    <xf numFmtId="43" fontId="17" fillId="0" borderId="0" xfId="1" applyFont="1" applyBorder="1">
      <alignment vertical="top"/>
    </xf>
    <xf numFmtId="43" fontId="18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0" borderId="0" xfId="0" applyFont="1" applyFill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vertical="top"/>
    </xf>
    <xf numFmtId="0" fontId="20" fillId="0" borderId="0" xfId="0" applyFont="1">
      <alignment vertical="top"/>
    </xf>
    <xf numFmtId="0" fontId="20" fillId="0" borderId="0" xfId="0" applyFont="1" applyFill="1">
      <alignment vertical="top"/>
    </xf>
    <xf numFmtId="44" fontId="20" fillId="0" borderId="0" xfId="2" applyFont="1" applyFill="1">
      <alignment vertical="top"/>
    </xf>
    <xf numFmtId="0" fontId="21" fillId="0" borderId="0" xfId="0" applyFont="1">
      <alignment vertical="top"/>
    </xf>
    <xf numFmtId="0" fontId="21" fillId="0" borderId="6" xfId="0" applyFont="1" applyBorder="1">
      <alignment vertical="top"/>
    </xf>
    <xf numFmtId="0" fontId="22" fillId="0" borderId="6" xfId="0" applyFont="1" applyFill="1" applyBorder="1" applyAlignment="1">
      <alignment horizontal="center" vertical="center"/>
    </xf>
    <xf numFmtId="44" fontId="22" fillId="0" borderId="6" xfId="2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16" fillId="0" borderId="0" xfId="0" applyNumberFormat="1" applyFont="1" applyAlignment="1"/>
    <xf numFmtId="49" fontId="16" fillId="0" borderId="0" xfId="0" applyNumberFormat="1" applyFont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167" fontId="15" fillId="0" borderId="6" xfId="0" applyNumberFormat="1" applyFont="1" applyBorder="1" applyAlignment="1"/>
    <xf numFmtId="43" fontId="13" fillId="0" borderId="0" xfId="0" applyNumberFormat="1" applyFont="1" applyFill="1">
      <alignment vertical="top"/>
    </xf>
    <xf numFmtId="0" fontId="22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12" fillId="0" borderId="0" xfId="5"/>
    <xf numFmtId="49" fontId="23" fillId="0" borderId="0" xfId="5" applyNumberFormat="1" applyFont="1"/>
    <xf numFmtId="167" fontId="24" fillId="0" borderId="0" xfId="5" applyNumberFormat="1" applyFont="1"/>
    <xf numFmtId="167" fontId="24" fillId="0" borderId="6" xfId="5" applyNumberFormat="1" applyFont="1" applyBorder="1"/>
    <xf numFmtId="167" fontId="24" fillId="0" borderId="0" xfId="5" applyNumberFormat="1" applyFont="1" applyBorder="1"/>
    <xf numFmtId="167" fontId="24" fillId="0" borderId="4" xfId="5" applyNumberFormat="1" applyFont="1" applyBorder="1"/>
    <xf numFmtId="167" fontId="23" fillId="0" borderId="5" xfId="5" applyNumberFormat="1" applyFont="1" applyBorder="1"/>
    <xf numFmtId="167" fontId="24" fillId="0" borderId="3" xfId="5" applyNumberFormat="1" applyFont="1" applyBorder="1"/>
    <xf numFmtId="49" fontId="23" fillId="0" borderId="0" xfId="5" applyNumberFormat="1" applyFont="1" applyAlignment="1">
      <alignment horizontal="center"/>
    </xf>
    <xf numFmtId="49" fontId="23" fillId="0" borderId="2" xfId="5" applyNumberFormat="1" applyFont="1" applyBorder="1" applyAlignment="1">
      <alignment horizontal="center"/>
    </xf>
    <xf numFmtId="49" fontId="14" fillId="0" borderId="0" xfId="5" applyNumberFormat="1" applyFont="1"/>
    <xf numFmtId="167" fontId="15" fillId="0" borderId="0" xfId="5" applyNumberFormat="1" applyFont="1"/>
    <xf numFmtId="167" fontId="15" fillId="0" borderId="0" xfId="5" applyNumberFormat="1" applyFont="1" applyBorder="1"/>
    <xf numFmtId="0" fontId="7" fillId="0" borderId="0" xfId="0" applyFont="1" applyAlignment="1">
      <alignment horizontal="right" vertical="top" wrapText="1" readingOrder="1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43" fontId="13" fillId="0" borderId="0" xfId="0" applyNumberFormat="1" applyFont="1">
      <alignment vertical="top"/>
    </xf>
    <xf numFmtId="43" fontId="0" fillId="0" borderId="0" xfId="1" applyFont="1">
      <alignment vertical="top"/>
    </xf>
    <xf numFmtId="39" fontId="0" fillId="0" borderId="0" xfId="0" applyNumberFormat="1" applyAlignment="1"/>
    <xf numFmtId="0" fontId="13" fillId="3" borderId="0" xfId="0" applyFont="1" applyFill="1">
      <alignment vertical="top"/>
    </xf>
    <xf numFmtId="44" fontId="13" fillId="3" borderId="0" xfId="2" applyFont="1" applyFill="1">
      <alignment vertical="top"/>
    </xf>
    <xf numFmtId="0" fontId="13" fillId="3" borderId="0" xfId="0" applyFont="1" applyFill="1" applyAlignment="1">
      <alignment horizontal="center" vertical="top"/>
    </xf>
    <xf numFmtId="0" fontId="13" fillId="0" borderId="7" xfId="0" applyFont="1" applyFill="1" applyBorder="1">
      <alignment vertical="top"/>
    </xf>
    <xf numFmtId="44" fontId="13" fillId="0" borderId="7" xfId="2" applyFont="1" applyFill="1" applyBorder="1">
      <alignment vertical="top"/>
    </xf>
    <xf numFmtId="44" fontId="13" fillId="0" borderId="0" xfId="0" applyNumberFormat="1" applyFont="1" applyFill="1">
      <alignment vertical="top"/>
    </xf>
    <xf numFmtId="0" fontId="13" fillId="0" borderId="0" xfId="0" applyFont="1" applyFill="1" applyAlignment="1">
      <alignment horizontal="center" vertical="top"/>
    </xf>
    <xf numFmtId="0" fontId="2" fillId="0" borderId="0" xfId="0" applyFont="1">
      <alignment vertical="top"/>
    </xf>
    <xf numFmtId="0" fontId="4" fillId="0" borderId="0" xfId="0" applyFont="1" applyAlignment="1">
      <alignment horizontal="left" vertical="top"/>
    </xf>
    <xf numFmtId="9" fontId="18" fillId="0" borderId="0" xfId="6" applyFont="1" applyAlignment="1">
      <alignment horizontal="center" vertical="top"/>
    </xf>
    <xf numFmtId="14" fontId="2" fillId="0" borderId="7" xfId="0" applyNumberFormat="1" applyFont="1" applyBorder="1">
      <alignment vertical="top"/>
    </xf>
    <xf numFmtId="8" fontId="13" fillId="0" borderId="0" xfId="0" applyNumberFormat="1" applyFont="1" applyFill="1">
      <alignment vertical="top"/>
    </xf>
    <xf numFmtId="164" fontId="4" fillId="0" borderId="0" xfId="0" applyNumberFormat="1" applyFont="1" applyAlignment="1">
      <alignment horizontal="right" vertical="top"/>
    </xf>
    <xf numFmtId="0" fontId="20" fillId="4" borderId="0" xfId="0" applyFont="1" applyFill="1">
      <alignment vertical="top"/>
    </xf>
    <xf numFmtId="0" fontId="22" fillId="4" borderId="6" xfId="0" applyFont="1" applyFill="1" applyBorder="1" applyAlignment="1">
      <alignment horizontal="center" vertical="center" wrapText="1"/>
    </xf>
    <xf numFmtId="0" fontId="18" fillId="4" borderId="0" xfId="0" applyFont="1" applyFill="1">
      <alignment vertical="top"/>
    </xf>
    <xf numFmtId="43" fontId="18" fillId="4" borderId="0" xfId="1" applyFont="1" applyFill="1">
      <alignment vertical="top"/>
    </xf>
    <xf numFmtId="43" fontId="18" fillId="4" borderId="0" xfId="1" applyFont="1" applyFill="1" applyBorder="1">
      <alignment vertical="top"/>
    </xf>
    <xf numFmtId="43" fontId="18" fillId="4" borderId="7" xfId="1" applyFont="1" applyFill="1" applyBorder="1">
      <alignment vertical="top"/>
    </xf>
    <xf numFmtId="43" fontId="18" fillId="4" borderId="8" xfId="1" applyFont="1" applyFill="1" applyBorder="1">
      <alignment vertical="top"/>
    </xf>
    <xf numFmtId="43" fontId="17" fillId="4" borderId="9" xfId="1" applyFont="1" applyFill="1" applyBorder="1">
      <alignment vertical="top"/>
    </xf>
    <xf numFmtId="43" fontId="13" fillId="4" borderId="0" xfId="1" applyFont="1" applyFill="1">
      <alignment vertical="top"/>
    </xf>
    <xf numFmtId="43" fontId="13" fillId="4" borderId="0" xfId="0" applyNumberFormat="1" applyFont="1" applyFill="1">
      <alignment vertical="top"/>
    </xf>
    <xf numFmtId="0" fontId="13" fillId="4" borderId="0" xfId="0" applyFont="1" applyFill="1">
      <alignment vertical="top"/>
    </xf>
    <xf numFmtId="43" fontId="13" fillId="4" borderId="7" xfId="0" applyNumberFormat="1" applyFont="1" applyFill="1" applyBorder="1">
      <alignment vertical="top"/>
    </xf>
    <xf numFmtId="0" fontId="22" fillId="4" borderId="6" xfId="0" applyFont="1" applyFill="1" applyBorder="1" applyAlignment="1">
      <alignment horizontal="center" vertical="center"/>
    </xf>
    <xf numFmtId="44" fontId="13" fillId="4" borderId="0" xfId="2" applyFont="1" applyFill="1">
      <alignment vertical="top"/>
    </xf>
    <xf numFmtId="164" fontId="4" fillId="0" borderId="0" xfId="0" applyNumberFormat="1" applyFont="1" applyAlignment="1">
      <alignment horizontal="right" vertical="top"/>
    </xf>
    <xf numFmtId="44" fontId="13" fillId="4" borderId="0" xfId="0" applyNumberFormat="1" applyFont="1" applyFill="1">
      <alignment vertical="top"/>
    </xf>
    <xf numFmtId="164" fontId="4" fillId="4" borderId="7" xfId="0" applyNumberFormat="1" applyFont="1" applyFill="1" applyBorder="1" applyAlignment="1">
      <alignment horizontal="right" vertical="top"/>
    </xf>
    <xf numFmtId="164" fontId="4" fillId="4" borderId="0" xfId="0" applyNumberFormat="1" applyFont="1" applyFill="1" applyAlignment="1">
      <alignment horizontal="right" vertical="top"/>
    </xf>
    <xf numFmtId="0" fontId="19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14" fontId="19" fillId="0" borderId="0" xfId="0" applyNumberFormat="1" applyFont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164" fontId="4" fillId="0" borderId="9" xfId="0" applyNumberFormat="1" applyFont="1" applyBorder="1" applyAlignment="1">
      <alignment horizontal="right" vertical="top"/>
    </xf>
    <xf numFmtId="0" fontId="4" fillId="0" borderId="0" xfId="0" quotePrefix="1" applyFont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top" wrapText="1" readingOrder="1"/>
    </xf>
    <xf numFmtId="164" fontId="4" fillId="0" borderId="17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Combined%20Profit%20&amp;%20Loss%20%20-%20Octob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BalanceSheet1_ffc1a33f-c5e3-4026-a162-aac94e57387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 refreshError="1"/>
      <sheetData sheetId="1">
        <row r="60">
          <cell r="B60">
            <v>1250210.18</v>
          </cell>
          <cell r="C60">
            <v>3907.0299999999997</v>
          </cell>
          <cell r="D60">
            <v>104785.78</v>
          </cell>
          <cell r="E60">
            <v>0</v>
          </cell>
          <cell r="F60">
            <v>93289.06</v>
          </cell>
          <cell r="G60">
            <v>92512.700000000026</v>
          </cell>
          <cell r="H60">
            <v>147135.84</v>
          </cell>
        </row>
        <row r="107">
          <cell r="B107">
            <v>-592924.35999984713</v>
          </cell>
          <cell r="I107">
            <v>646742.13000015938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H11" t="str">
            <v>CASH - PETTY CASH</v>
          </cell>
        </row>
        <row r="91">
          <cell r="H91" t="str">
            <v>FURNITURE AND EQUIPMENT</v>
          </cell>
          <cell r="S91">
            <v>1112375.6499999999</v>
          </cell>
        </row>
        <row r="93">
          <cell r="H93" t="str">
            <v>GYM EQUIPMENT</v>
          </cell>
          <cell r="S93">
            <v>45071.88</v>
          </cell>
        </row>
        <row r="95">
          <cell r="H95" t="str">
            <v>FURNITURE &amp; EQUIPMENT-DEPOSITORY</v>
          </cell>
          <cell r="S95">
            <v>715632.48</v>
          </cell>
        </row>
        <row r="97">
          <cell r="H97" t="str">
            <v>LEASEHOLD IMPROVEMENTS</v>
          </cell>
          <cell r="S97">
            <v>4588704.43</v>
          </cell>
        </row>
        <row r="99">
          <cell r="H99" t="str">
            <v>LEASEHOLD IMPROVEMENT-DEPOSITORY</v>
          </cell>
          <cell r="S99">
            <v>460539.38</v>
          </cell>
        </row>
        <row r="101">
          <cell r="H101" t="str">
            <v>CUSTOMER LISTS &amp; RELATED ITEMS</v>
          </cell>
          <cell r="S101">
            <v>60000</v>
          </cell>
        </row>
        <row r="103">
          <cell r="H103" t="str">
            <v>STORE EQUIPMENT</v>
          </cell>
          <cell r="S103">
            <v>3120408.85</v>
          </cell>
        </row>
        <row r="105">
          <cell r="H105" t="str">
            <v>STORE EQUIPMENT-DEPOSITORY</v>
          </cell>
          <cell r="S105">
            <v>11428.88</v>
          </cell>
        </row>
        <row r="107">
          <cell r="H107" t="str">
            <v>MOTOR VEHICLES</v>
          </cell>
          <cell r="S107">
            <v>205633.94</v>
          </cell>
        </row>
        <row r="109">
          <cell r="H109" t="str">
            <v>SOLAR PROJECT</v>
          </cell>
          <cell r="S109">
            <v>2023589.41</v>
          </cell>
        </row>
        <row r="111">
          <cell r="H111" t="str">
            <v>MINTING PROJECT</v>
          </cell>
          <cell r="S111">
            <v>4859631.87</v>
          </cell>
        </row>
        <row r="113">
          <cell r="H113" t="str">
            <v>BUILDING AND IMPROVEMENTS</v>
          </cell>
          <cell r="S113">
            <v>70738.81</v>
          </cell>
        </row>
        <row r="115">
          <cell r="H115" t="str">
            <v>ACCUMULATED DEPRECIATION</v>
          </cell>
          <cell r="S115">
            <v>-7284972.7599999998</v>
          </cell>
        </row>
        <row r="117">
          <cell r="H117" t="str">
            <v>ACCUMULATED AMORTIZATION</v>
          </cell>
          <cell r="S117">
            <v>-56666.78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2"/>
  <sheetViews>
    <sheetView zoomScale="70" zoomScaleNormal="70" workbookViewId="0">
      <pane ySplit="7" topLeftCell="A41" activePane="bottomLeft" state="frozen"/>
      <selection activeCell="S11" sqref="S11"/>
      <selection pane="bottomLeft" activeCell="C54" sqref="C54"/>
    </sheetView>
  </sheetViews>
  <sheetFormatPr defaultColWidth="7.140625" defaultRowHeight="15" x14ac:dyDescent="0.2"/>
  <cols>
    <col min="1" max="1" width="63.28515625" style="7" bestFit="1" customWidth="1"/>
    <col min="2" max="2" width="24" style="149" customWidth="1"/>
    <col min="3" max="3" width="7.5703125" style="47" customWidth="1"/>
    <col min="4" max="4" width="21.28515625" style="149" customWidth="1"/>
    <col min="5" max="5" width="7.5703125" style="47" customWidth="1"/>
    <col min="6" max="6" width="21.28515625" style="149" customWidth="1"/>
    <col min="7" max="7" width="7.5703125" style="47" customWidth="1"/>
    <col min="8" max="8" width="21.28515625" style="149" customWidth="1"/>
    <col min="9" max="9" width="7.5703125" style="47" customWidth="1"/>
    <col min="10" max="10" width="22.28515625" style="149" customWidth="1"/>
    <col min="11" max="11" width="7.5703125" style="47" customWidth="1"/>
    <col min="12" max="12" width="22.28515625" style="149" customWidth="1"/>
    <col min="13" max="13" width="7.5703125" style="47" customWidth="1"/>
    <col min="14" max="14" width="22.28515625" style="149" customWidth="1"/>
    <col min="15" max="15" width="7.5703125" style="47" customWidth="1"/>
    <col min="16" max="16" width="24" style="49" customWidth="1"/>
    <col min="17" max="17" width="63.28515625" style="47" bestFit="1" customWidth="1"/>
    <col min="18" max="18" width="24" style="47" customWidth="1"/>
    <col min="19" max="19" width="7.5703125" style="47" customWidth="1"/>
    <col min="20" max="20" width="21.28515625" style="47" customWidth="1"/>
    <col min="21" max="21" width="7.5703125" style="47" customWidth="1"/>
    <col min="22" max="22" width="21.28515625" style="47" customWidth="1"/>
    <col min="23" max="23" width="2.85546875" style="47" customWidth="1"/>
    <col min="24" max="24" width="21.28515625" style="47" customWidth="1"/>
    <col min="25" max="25" width="2.85546875" style="47" customWidth="1"/>
    <col min="26" max="26" width="22.28515625" style="47" customWidth="1"/>
    <col min="27" max="27" width="2.85546875" style="47" customWidth="1"/>
    <col min="28" max="28" width="22.28515625" style="47" customWidth="1"/>
    <col min="29" max="29" width="2.85546875" style="47" customWidth="1"/>
    <col min="30" max="30" width="21.7109375" style="47" customWidth="1"/>
    <col min="31" max="31" width="2.85546875" style="47" customWidth="1"/>
    <col min="32" max="32" width="24" style="47" customWidth="1"/>
    <col min="33" max="33" width="63.28515625" style="7" bestFit="1" customWidth="1"/>
    <col min="34" max="34" width="24" style="7" customWidth="1"/>
    <col min="35" max="35" width="2.85546875" style="7" customWidth="1"/>
    <col min="36" max="36" width="24" style="7" customWidth="1"/>
    <col min="37" max="37" width="2.85546875" style="7" customWidth="1"/>
    <col min="38" max="38" width="24" style="7" customWidth="1"/>
    <col min="39" max="39" width="2.85546875" style="7" customWidth="1"/>
    <col min="40" max="40" width="24" style="7" customWidth="1"/>
    <col min="41" max="41" width="2.85546875" style="7" customWidth="1"/>
    <col min="42" max="42" width="17.140625" style="7" customWidth="1"/>
    <col min="43" max="43" width="11.28515625" style="7" customWidth="1"/>
    <col min="44" max="16384" width="7.140625" style="7"/>
  </cols>
  <sheetData>
    <row r="1" spans="1:42" ht="24.95" customHeight="1" x14ac:dyDescent="0.2">
      <c r="A1" s="158" t="s">
        <v>486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42" ht="24.95" customHeight="1" x14ac:dyDescent="0.2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42" ht="24.95" customHeight="1" x14ac:dyDescent="0.2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</row>
    <row r="4" spans="1:42" s="88" customFormat="1" ht="31.5" x14ac:dyDescent="0.2">
      <c r="A4" s="157" t="s">
        <v>480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 t="s">
        <v>480</v>
      </c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 t="s">
        <v>480</v>
      </c>
      <c r="AH4" s="157"/>
      <c r="AI4" s="157"/>
      <c r="AJ4" s="157"/>
      <c r="AK4" s="157"/>
      <c r="AL4" s="157"/>
      <c r="AM4" s="157"/>
      <c r="AN4" s="157"/>
      <c r="AO4" s="99"/>
      <c r="AP4" s="87"/>
    </row>
    <row r="5" spans="1:42" s="88" customFormat="1" ht="31.5" x14ac:dyDescent="0.2">
      <c r="A5" s="157" t="s">
        <v>584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9">
        <v>43039</v>
      </c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 t="s">
        <v>252</v>
      </c>
      <c r="AH5" s="157"/>
      <c r="AI5" s="157"/>
      <c r="AJ5" s="157"/>
      <c r="AK5" s="157"/>
      <c r="AL5" s="157"/>
      <c r="AM5" s="157"/>
      <c r="AN5" s="157"/>
      <c r="AO5" s="99"/>
      <c r="AP5" s="87"/>
    </row>
    <row r="6" spans="1:42" s="88" customFormat="1" ht="43.5" customHeight="1" x14ac:dyDescent="0.2">
      <c r="B6" s="139"/>
      <c r="C6" s="89"/>
      <c r="D6" s="139"/>
      <c r="E6" s="89"/>
      <c r="F6" s="139"/>
      <c r="G6" s="89"/>
      <c r="H6" s="139"/>
      <c r="I6" s="89"/>
      <c r="J6" s="139"/>
      <c r="K6" s="89"/>
      <c r="L6" s="139"/>
      <c r="M6" s="89"/>
      <c r="N6" s="139"/>
      <c r="O6" s="89"/>
      <c r="P6" s="90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157" t="s">
        <v>585</v>
      </c>
      <c r="AH6" s="157"/>
      <c r="AI6" s="157"/>
      <c r="AJ6" s="157"/>
      <c r="AK6" s="157"/>
      <c r="AL6" s="157"/>
      <c r="AM6" s="157"/>
      <c r="AN6" s="157"/>
    </row>
    <row r="7" spans="1:42" s="91" customFormat="1" ht="53.25" thickBot="1" x14ac:dyDescent="0.25">
      <c r="A7" s="92"/>
      <c r="B7" s="151" t="s">
        <v>241</v>
      </c>
      <c r="C7" s="93"/>
      <c r="D7" s="151" t="s">
        <v>242</v>
      </c>
      <c r="E7" s="93"/>
      <c r="F7" s="151" t="s">
        <v>243</v>
      </c>
      <c r="G7" s="93"/>
      <c r="H7" s="151" t="s">
        <v>244</v>
      </c>
      <c r="I7" s="93"/>
      <c r="J7" s="151" t="s">
        <v>245</v>
      </c>
      <c r="K7" s="93"/>
      <c r="L7" s="151" t="s">
        <v>479</v>
      </c>
      <c r="M7" s="93"/>
      <c r="N7" s="151" t="s">
        <v>512</v>
      </c>
      <c r="O7" s="93"/>
      <c r="P7" s="94" t="s">
        <v>246</v>
      </c>
      <c r="Q7" s="95"/>
      <c r="R7" s="93" t="s">
        <v>241</v>
      </c>
      <c r="S7" s="93"/>
      <c r="T7" s="93" t="s">
        <v>242</v>
      </c>
      <c r="U7" s="93"/>
      <c r="V7" s="93" t="s">
        <v>243</v>
      </c>
      <c r="W7" s="93"/>
      <c r="X7" s="93" t="s">
        <v>244</v>
      </c>
      <c r="Y7" s="93"/>
      <c r="Z7" s="93" t="s">
        <v>245</v>
      </c>
      <c r="AA7" s="93"/>
      <c r="AB7" s="93" t="s">
        <v>479</v>
      </c>
      <c r="AC7" s="93"/>
      <c r="AD7" s="93" t="s">
        <v>514</v>
      </c>
      <c r="AE7" s="93"/>
      <c r="AF7" s="94" t="s">
        <v>246</v>
      </c>
      <c r="AG7" s="96"/>
      <c r="AH7" s="97">
        <v>2018</v>
      </c>
      <c r="AI7" s="97"/>
      <c r="AJ7" s="97">
        <v>2017</v>
      </c>
      <c r="AK7" s="97"/>
      <c r="AL7" s="98" t="s">
        <v>339</v>
      </c>
      <c r="AM7" s="98"/>
      <c r="AN7" s="98" t="s">
        <v>340</v>
      </c>
      <c r="AO7" s="98"/>
      <c r="AP7" s="98" t="s">
        <v>573</v>
      </c>
    </row>
    <row r="8" spans="1:42" s="54" customFormat="1" ht="24.95" customHeight="1" x14ac:dyDescent="0.2">
      <c r="A8" s="50" t="s">
        <v>2</v>
      </c>
      <c r="B8" s="141"/>
      <c r="C8" s="51"/>
      <c r="D8" s="141"/>
      <c r="E8" s="51"/>
      <c r="F8" s="141"/>
      <c r="G8" s="51"/>
      <c r="H8" s="141"/>
      <c r="I8" s="51"/>
      <c r="J8" s="141"/>
      <c r="K8" s="51"/>
      <c r="L8" s="141"/>
      <c r="M8" s="51"/>
      <c r="N8" s="141"/>
      <c r="O8" s="51"/>
      <c r="P8" s="52"/>
      <c r="Q8" s="53" t="s">
        <v>2</v>
      </c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0" t="s">
        <v>2</v>
      </c>
    </row>
    <row r="9" spans="1:42" s="54" customFormat="1" ht="24.95" customHeight="1" x14ac:dyDescent="0.2">
      <c r="A9" s="50" t="s">
        <v>254</v>
      </c>
      <c r="B9" s="141"/>
      <c r="C9" s="51"/>
      <c r="D9" s="141"/>
      <c r="E9" s="51"/>
      <c r="F9" s="141"/>
      <c r="G9" s="51"/>
      <c r="H9" s="141"/>
      <c r="I9" s="51"/>
      <c r="J9" s="141"/>
      <c r="K9" s="51"/>
      <c r="L9" s="141"/>
      <c r="M9" s="51"/>
      <c r="N9" s="141"/>
      <c r="O9" s="51"/>
      <c r="P9" s="52"/>
      <c r="Q9" s="53" t="s">
        <v>254</v>
      </c>
      <c r="R9" s="52"/>
      <c r="S9" s="52">
        <v>0</v>
      </c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0" t="s">
        <v>254</v>
      </c>
    </row>
    <row r="10" spans="1:42" s="54" customFormat="1" ht="24.95" customHeight="1" x14ac:dyDescent="0.35">
      <c r="A10" s="55" t="s">
        <v>247</v>
      </c>
      <c r="B10" s="142">
        <f>'Consolidated Balance Sheet'!B7</f>
        <v>-1090652.3400000001</v>
      </c>
      <c r="C10" s="56"/>
      <c r="D10" s="142">
        <f>'Consolidated Balance Sheet'!D7</f>
        <v>1571547.17</v>
      </c>
      <c r="E10" s="56"/>
      <c r="F10" s="142">
        <f>'Consolidated Balance Sheet'!F7</f>
        <v>479155.61</v>
      </c>
      <c r="G10" s="56"/>
      <c r="H10" s="142">
        <f>'Consolidated Balance Sheet'!H7</f>
        <v>1000</v>
      </c>
      <c r="I10" s="56"/>
      <c r="J10" s="142">
        <f>'Consolidated Balance Sheet'!J7</f>
        <v>500907.23</v>
      </c>
      <c r="K10" s="56"/>
      <c r="L10" s="142">
        <f>'Consolidated Balance Sheet'!L7</f>
        <v>228092.27</v>
      </c>
      <c r="M10" s="51"/>
      <c r="N10" s="142">
        <f>'Consolidated Balance Sheet'!N7</f>
        <v>182407.86</v>
      </c>
      <c r="O10" s="51"/>
      <c r="P10" s="56">
        <f>SUM(B10:N10)</f>
        <v>1872457.7999999998</v>
      </c>
      <c r="Q10" s="55" t="s">
        <v>247</v>
      </c>
      <c r="R10" s="56">
        <f>'Consolidated Balance Sheet'!R7</f>
        <v>6313871.0200000005</v>
      </c>
      <c r="S10" s="56">
        <v>0</v>
      </c>
      <c r="T10" s="56">
        <f>'Consolidated Balance Sheet'!T7</f>
        <v>921283.31</v>
      </c>
      <c r="U10" s="56"/>
      <c r="V10" s="56">
        <f>'Consolidated Balance Sheet'!V7</f>
        <v>342537.71</v>
      </c>
      <c r="W10" s="56">
        <f>'Consolidated Balance Sheet'!W7</f>
        <v>0</v>
      </c>
      <c r="X10" s="56">
        <f>'Consolidated Balance Sheet'!X7</f>
        <v>252378.16</v>
      </c>
      <c r="Y10" s="56">
        <f>'Consolidated Balance Sheet'!Y7</f>
        <v>0</v>
      </c>
      <c r="Z10" s="56">
        <f>'Consolidated Balance Sheet'!Z7</f>
        <v>462892.4</v>
      </c>
      <c r="AA10" s="56">
        <f>'Consolidated Balance Sheet'!AA7</f>
        <v>0</v>
      </c>
      <c r="AB10" s="56">
        <f>'Consolidated Balance Sheet'!AB7</f>
        <v>453160.14999999997</v>
      </c>
      <c r="AC10" s="56">
        <f>'Consolidated Balance Sheet'!AC7</f>
        <v>0</v>
      </c>
      <c r="AD10" s="56">
        <f>'Consolidated Balance Sheet'!AD7</f>
        <v>275530.45</v>
      </c>
      <c r="AE10" s="56">
        <f>'Consolidated Balance Sheet'!AE7</f>
        <v>0</v>
      </c>
      <c r="AF10" s="56">
        <f>SUM(R10:AD10)</f>
        <v>9021653.1999999993</v>
      </c>
      <c r="AG10" s="55" t="s">
        <v>247</v>
      </c>
      <c r="AH10" s="58">
        <f>P10</f>
        <v>1872457.7999999998</v>
      </c>
      <c r="AI10" s="58"/>
      <c r="AJ10" s="58">
        <f>AF10</f>
        <v>9021653.1999999993</v>
      </c>
      <c r="AK10" s="58"/>
      <c r="AL10" s="58">
        <f t="shared" ref="AL10:AL18" si="0">AH10-AJ10</f>
        <v>-7149195.3999999994</v>
      </c>
      <c r="AM10" s="58"/>
      <c r="AN10" s="59">
        <f>AH10/AJ10</f>
        <v>0.20755151616779061</v>
      </c>
      <c r="AO10" s="59"/>
      <c r="AP10" s="60">
        <f t="shared" ref="AP10:AP18" si="1">AN10-1</f>
        <v>-0.79244848383220945</v>
      </c>
    </row>
    <row r="11" spans="1:42" s="54" customFormat="1" ht="24.95" customHeight="1" x14ac:dyDescent="0.2">
      <c r="A11" s="54" t="s">
        <v>248</v>
      </c>
      <c r="B11" s="142">
        <f>'Consolidated Balance Sheet'!B8</f>
        <v>17781925</v>
      </c>
      <c r="C11" s="56"/>
      <c r="D11" s="142">
        <f>'Consolidated Balance Sheet'!D8</f>
        <v>701939.53</v>
      </c>
      <c r="E11" s="56"/>
      <c r="F11" s="142">
        <f>'Consolidated Balance Sheet'!F8</f>
        <v>263142.57</v>
      </c>
      <c r="G11" s="56"/>
      <c r="H11" s="142">
        <f>'Consolidated Balance Sheet'!H8</f>
        <v>0</v>
      </c>
      <c r="I11" s="56"/>
      <c r="J11" s="142">
        <f>'Consolidated Balance Sheet'!J8</f>
        <v>0</v>
      </c>
      <c r="K11" s="56"/>
      <c r="L11" s="142">
        <f>'Consolidated Balance Sheet'!L8</f>
        <v>0</v>
      </c>
      <c r="M11" s="51"/>
      <c r="N11" s="142">
        <f>'Consolidated Balance Sheet'!N8</f>
        <v>0</v>
      </c>
      <c r="O11" s="51"/>
      <c r="P11" s="56">
        <f t="shared" ref="P11:P19" si="2">SUM(B11:N11)</f>
        <v>18747007.100000001</v>
      </c>
      <c r="Q11" s="54" t="s">
        <v>248</v>
      </c>
      <c r="R11" s="56">
        <f>'Consolidated Balance Sheet'!R8</f>
        <v>7379476.4100000001</v>
      </c>
      <c r="S11" s="56"/>
      <c r="T11" s="56">
        <f>'Consolidated Balance Sheet'!T8</f>
        <v>436093.66</v>
      </c>
      <c r="U11" s="56"/>
      <c r="V11" s="56">
        <f>'Consolidated Balance Sheet'!V8</f>
        <v>38902.949999999997</v>
      </c>
      <c r="W11" s="56">
        <f>'Consolidated Balance Sheet'!W8</f>
        <v>0</v>
      </c>
      <c r="X11" s="56">
        <f>'Consolidated Balance Sheet'!X8</f>
        <v>0</v>
      </c>
      <c r="Y11" s="56">
        <f>'Consolidated Balance Sheet'!Y8</f>
        <v>0</v>
      </c>
      <c r="Z11" s="56">
        <f>'Consolidated Balance Sheet'!Z8</f>
        <v>0</v>
      </c>
      <c r="AA11" s="56">
        <f>'Consolidated Balance Sheet'!AA8</f>
        <v>0</v>
      </c>
      <c r="AB11" s="56">
        <f>'Consolidated Balance Sheet'!AB8</f>
        <v>0</v>
      </c>
      <c r="AC11" s="56"/>
      <c r="AD11" s="56">
        <f>'Consolidated Balance Sheet'!AD8</f>
        <v>0</v>
      </c>
      <c r="AE11" s="56"/>
      <c r="AF11" s="56">
        <f t="shared" ref="AF11:AF19" si="3">SUM(R11:AD11)</f>
        <v>7854473.0200000005</v>
      </c>
      <c r="AG11" s="54" t="s">
        <v>248</v>
      </c>
      <c r="AH11" s="58">
        <f t="shared" ref="AH11:AH18" si="4">P11</f>
        <v>18747007.100000001</v>
      </c>
      <c r="AI11" s="58"/>
      <c r="AJ11" s="58">
        <f t="shared" ref="AJ11:AJ18" si="5">AF11</f>
        <v>7854473.0200000005</v>
      </c>
      <c r="AK11" s="58"/>
      <c r="AL11" s="58">
        <f t="shared" si="0"/>
        <v>10892534.080000002</v>
      </c>
      <c r="AM11" s="58"/>
      <c r="AN11" s="59">
        <f>AH11/AJ11</f>
        <v>2.386793748258365</v>
      </c>
      <c r="AO11" s="59"/>
      <c r="AP11" s="60">
        <f t="shared" si="1"/>
        <v>1.386793748258365</v>
      </c>
    </row>
    <row r="12" spans="1:42" s="54" customFormat="1" ht="24.95" customHeight="1" x14ac:dyDescent="0.2">
      <c r="A12" s="54" t="s">
        <v>255</v>
      </c>
      <c r="B12" s="142">
        <f>'Consolidated Balance Sheet'!B9</f>
        <v>97927.93</v>
      </c>
      <c r="C12" s="56"/>
      <c r="D12" s="142">
        <f>'Consolidated Balance Sheet'!D9</f>
        <v>0</v>
      </c>
      <c r="E12" s="56"/>
      <c r="F12" s="142">
        <f>'Consolidated Balance Sheet'!F9</f>
        <v>0</v>
      </c>
      <c r="G12" s="56"/>
      <c r="H12" s="142">
        <f>'Consolidated Balance Sheet'!H9</f>
        <v>694083.7</v>
      </c>
      <c r="I12" s="56"/>
      <c r="J12" s="142">
        <f>'Consolidated Balance Sheet'!J9</f>
        <v>0</v>
      </c>
      <c r="K12" s="56"/>
      <c r="L12" s="142">
        <f>'Consolidated Balance Sheet'!L9</f>
        <v>0</v>
      </c>
      <c r="M12" s="51"/>
      <c r="N12" s="142">
        <f>'Consolidated Balance Sheet'!N9</f>
        <v>0</v>
      </c>
      <c r="O12" s="51"/>
      <c r="P12" s="56">
        <f t="shared" si="2"/>
        <v>792011.62999999989</v>
      </c>
      <c r="Q12" s="54" t="s">
        <v>255</v>
      </c>
      <c r="R12" s="56">
        <f>'Consolidated Balance Sheet'!R9</f>
        <v>0</v>
      </c>
      <c r="S12" s="56"/>
      <c r="T12" s="56">
        <f>'Consolidated Balance Sheet'!T9</f>
        <v>0</v>
      </c>
      <c r="U12" s="56"/>
      <c r="V12" s="56">
        <f>'Consolidated Balance Sheet'!V9</f>
        <v>0</v>
      </c>
      <c r="W12" s="56">
        <f>'Consolidated Balance Sheet'!W9</f>
        <v>0</v>
      </c>
      <c r="X12" s="56">
        <f>'Consolidated Balance Sheet'!X9</f>
        <v>1548976.18</v>
      </c>
      <c r="Y12" s="56">
        <f>'Consolidated Balance Sheet'!Y9</f>
        <v>0</v>
      </c>
      <c r="Z12" s="56">
        <f>'Consolidated Balance Sheet'!Z9</f>
        <v>0</v>
      </c>
      <c r="AA12" s="56">
        <f>'Consolidated Balance Sheet'!AA9</f>
        <v>0</v>
      </c>
      <c r="AB12" s="56">
        <f>'Consolidated Balance Sheet'!AB9</f>
        <v>0</v>
      </c>
      <c r="AC12" s="56">
        <f>'Consolidated Balance Sheet'!AC9</f>
        <v>0</v>
      </c>
      <c r="AD12" s="56">
        <f>'Consolidated Balance Sheet'!AD9</f>
        <v>0</v>
      </c>
      <c r="AE12" s="56">
        <f>'Consolidated Balance Sheet'!AE9</f>
        <v>0</v>
      </c>
      <c r="AF12" s="56">
        <f t="shared" si="3"/>
        <v>1548976.18</v>
      </c>
      <c r="AG12" s="54" t="s">
        <v>255</v>
      </c>
      <c r="AH12" s="58">
        <f t="shared" si="4"/>
        <v>792011.62999999989</v>
      </c>
      <c r="AI12" s="58"/>
      <c r="AJ12" s="58">
        <f t="shared" si="5"/>
        <v>1548976.18</v>
      </c>
      <c r="AK12" s="58"/>
      <c r="AL12" s="58">
        <f t="shared" si="0"/>
        <v>-756964.55</v>
      </c>
      <c r="AM12" s="58"/>
      <c r="AN12" s="59"/>
      <c r="AO12" s="59"/>
      <c r="AP12" s="60">
        <f t="shared" si="1"/>
        <v>-1</v>
      </c>
    </row>
    <row r="13" spans="1:42" s="54" customFormat="1" ht="24.95" customHeight="1" x14ac:dyDescent="0.2">
      <c r="A13" s="54" t="s">
        <v>256</v>
      </c>
      <c r="B13" s="142">
        <f>'Consolidated Balance Sheet'!B10</f>
        <v>0</v>
      </c>
      <c r="C13" s="56"/>
      <c r="D13" s="142">
        <f>'Consolidated Balance Sheet'!D10</f>
        <v>0</v>
      </c>
      <c r="E13" s="56"/>
      <c r="F13" s="142">
        <f>'Consolidated Balance Sheet'!F10</f>
        <v>109247.75</v>
      </c>
      <c r="G13" s="56"/>
      <c r="H13" s="142">
        <f>'Consolidated Balance Sheet'!H10</f>
        <v>0</v>
      </c>
      <c r="I13" s="56"/>
      <c r="J13" s="142">
        <f>'Consolidated Balance Sheet'!J10</f>
        <v>0</v>
      </c>
      <c r="K13" s="56"/>
      <c r="L13" s="142">
        <f>'Consolidated Balance Sheet'!L10</f>
        <v>0</v>
      </c>
      <c r="M13" s="51"/>
      <c r="N13" s="142">
        <f>'Consolidated Balance Sheet'!N10</f>
        <v>0</v>
      </c>
      <c r="O13" s="51"/>
      <c r="P13" s="56">
        <f t="shared" si="2"/>
        <v>109247.75</v>
      </c>
      <c r="Q13" s="54" t="s">
        <v>256</v>
      </c>
      <c r="R13" s="56">
        <f>'Consolidated Balance Sheet'!R10</f>
        <v>0</v>
      </c>
      <c r="S13" s="56"/>
      <c r="T13" s="56">
        <f>'Consolidated Balance Sheet'!T10</f>
        <v>0</v>
      </c>
      <c r="U13" s="56"/>
      <c r="V13" s="56">
        <f>'Consolidated Balance Sheet'!V10</f>
        <v>160390.79999999999</v>
      </c>
      <c r="W13" s="56">
        <f>'Consolidated Balance Sheet'!W10</f>
        <v>0</v>
      </c>
      <c r="X13" s="56">
        <f>'Consolidated Balance Sheet'!X10</f>
        <v>0</v>
      </c>
      <c r="Y13" s="56">
        <f>'Consolidated Balance Sheet'!Y10</f>
        <v>0</v>
      </c>
      <c r="Z13" s="56">
        <f>'Consolidated Balance Sheet'!Z10</f>
        <v>0</v>
      </c>
      <c r="AA13" s="56">
        <f>'Consolidated Balance Sheet'!AA10</f>
        <v>0</v>
      </c>
      <c r="AB13" s="56">
        <f>'Consolidated Balance Sheet'!AB10</f>
        <v>0</v>
      </c>
      <c r="AC13" s="56"/>
      <c r="AD13" s="56">
        <f>'Consolidated Balance Sheet'!AD10</f>
        <v>0</v>
      </c>
      <c r="AE13" s="56"/>
      <c r="AF13" s="56">
        <f t="shared" si="3"/>
        <v>160390.79999999999</v>
      </c>
      <c r="AG13" s="54" t="s">
        <v>256</v>
      </c>
      <c r="AH13" s="58">
        <f t="shared" si="4"/>
        <v>109247.75</v>
      </c>
      <c r="AI13" s="58"/>
      <c r="AJ13" s="58">
        <f t="shared" si="5"/>
        <v>160390.79999999999</v>
      </c>
      <c r="AK13" s="58"/>
      <c r="AL13" s="58">
        <f t="shared" si="0"/>
        <v>-51143.049999999988</v>
      </c>
      <c r="AM13" s="58"/>
      <c r="AN13" s="59">
        <f t="shared" ref="AN13:AN20" si="6">AH13/AJ13</f>
        <v>0.68113476583444943</v>
      </c>
      <c r="AO13" s="59"/>
      <c r="AP13" s="60">
        <f t="shared" si="1"/>
        <v>-0.31886523416555057</v>
      </c>
    </row>
    <row r="14" spans="1:42" s="54" customFormat="1" ht="24.95" customHeight="1" x14ac:dyDescent="0.2">
      <c r="A14" s="54" t="s">
        <v>257</v>
      </c>
      <c r="B14" s="142">
        <f>'Consolidated Balance Sheet'!B11</f>
        <v>786292.29</v>
      </c>
      <c r="C14" s="56"/>
      <c r="D14" s="142">
        <f>'Consolidated Balance Sheet'!D11</f>
        <v>1700000</v>
      </c>
      <c r="E14" s="56"/>
      <c r="F14" s="142">
        <f>'Consolidated Balance Sheet'!F11</f>
        <v>4003700</v>
      </c>
      <c r="G14" s="56"/>
      <c r="H14" s="142">
        <f>'Consolidated Balance Sheet'!H11</f>
        <v>0</v>
      </c>
      <c r="I14" s="56"/>
      <c r="J14" s="142">
        <f>'Consolidated Balance Sheet'!J11</f>
        <v>0</v>
      </c>
      <c r="K14" s="56"/>
      <c r="L14" s="142">
        <f>'Consolidated Balance Sheet'!L11</f>
        <v>1604222.24</v>
      </c>
      <c r="M14" s="51"/>
      <c r="N14" s="142">
        <f>'Consolidated Balance Sheet'!N11</f>
        <v>32500</v>
      </c>
      <c r="O14" s="51"/>
      <c r="P14" s="56">
        <f t="shared" si="2"/>
        <v>8126714.5300000003</v>
      </c>
      <c r="Q14" s="54" t="s">
        <v>257</v>
      </c>
      <c r="R14" s="56">
        <f>'Consolidated Balance Sheet'!R11</f>
        <v>383291.84</v>
      </c>
      <c r="S14" s="56"/>
      <c r="T14" s="56">
        <f>'Consolidated Balance Sheet'!T11</f>
        <v>1200000</v>
      </c>
      <c r="U14" s="56"/>
      <c r="V14" s="56">
        <f>'Consolidated Balance Sheet'!V11</f>
        <v>2493000</v>
      </c>
      <c r="W14" s="56">
        <f>'Consolidated Balance Sheet'!W11</f>
        <v>0</v>
      </c>
      <c r="X14" s="56">
        <f>'Consolidated Balance Sheet'!X11</f>
        <v>121279.17</v>
      </c>
      <c r="Y14" s="56">
        <f>'Consolidated Balance Sheet'!Y11</f>
        <v>0</v>
      </c>
      <c r="Z14" s="56">
        <f>'Consolidated Balance Sheet'!Z11</f>
        <v>0</v>
      </c>
      <c r="AA14" s="56">
        <f>'Consolidated Balance Sheet'!AA11</f>
        <v>0</v>
      </c>
      <c r="AB14" s="56">
        <f>'Consolidated Balance Sheet'!AB11</f>
        <v>1339265.55</v>
      </c>
      <c r="AC14" s="56"/>
      <c r="AD14" s="56">
        <f>'Consolidated Balance Sheet'!AD11</f>
        <v>0</v>
      </c>
      <c r="AE14" s="56"/>
      <c r="AF14" s="56">
        <f t="shared" si="3"/>
        <v>5536836.5599999996</v>
      </c>
      <c r="AG14" s="54" t="s">
        <v>257</v>
      </c>
      <c r="AH14" s="58">
        <f t="shared" si="4"/>
        <v>8126714.5300000003</v>
      </c>
      <c r="AI14" s="58"/>
      <c r="AJ14" s="58">
        <f t="shared" si="5"/>
        <v>5536836.5599999996</v>
      </c>
      <c r="AK14" s="58"/>
      <c r="AL14" s="58">
        <f t="shared" si="0"/>
        <v>2589877.9700000007</v>
      </c>
      <c r="AM14" s="58"/>
      <c r="AN14" s="59">
        <f t="shared" si="6"/>
        <v>1.4677540942259637</v>
      </c>
      <c r="AO14" s="59"/>
      <c r="AP14" s="60">
        <f t="shared" si="1"/>
        <v>0.4677540942259637</v>
      </c>
    </row>
    <row r="15" spans="1:42" s="54" customFormat="1" ht="24.95" customHeight="1" x14ac:dyDescent="0.2">
      <c r="A15" s="54" t="s">
        <v>258</v>
      </c>
      <c r="B15" s="143">
        <f>'Consolidated Balance Sheet'!B12</f>
        <v>5682898.3200000003</v>
      </c>
      <c r="C15" s="61"/>
      <c r="D15" s="143">
        <f>'Consolidated Balance Sheet'!D12</f>
        <v>0</v>
      </c>
      <c r="E15" s="61"/>
      <c r="F15" s="143">
        <f>'Consolidated Balance Sheet'!F12</f>
        <v>0</v>
      </c>
      <c r="G15" s="61"/>
      <c r="H15" s="143">
        <f>'Consolidated Balance Sheet'!H12</f>
        <v>0</v>
      </c>
      <c r="I15" s="61"/>
      <c r="J15" s="143">
        <f>'Consolidated Balance Sheet'!J12</f>
        <v>0</v>
      </c>
      <c r="K15" s="61"/>
      <c r="L15" s="143">
        <f>'Consolidated Balance Sheet'!L12</f>
        <v>0</v>
      </c>
      <c r="M15" s="62"/>
      <c r="N15" s="143">
        <f>'Consolidated Balance Sheet'!N12</f>
        <v>0</v>
      </c>
      <c r="O15" s="62"/>
      <c r="P15" s="56">
        <f t="shared" si="2"/>
        <v>5682898.3200000003</v>
      </c>
      <c r="Q15" s="54" t="s">
        <v>258</v>
      </c>
      <c r="R15" s="56">
        <f>'Consolidated Balance Sheet'!R12</f>
        <v>7209601.04</v>
      </c>
      <c r="S15" s="56"/>
      <c r="T15" s="56">
        <f>'Consolidated Balance Sheet'!T12</f>
        <v>0</v>
      </c>
      <c r="U15" s="56"/>
      <c r="V15" s="56">
        <f>'Consolidated Balance Sheet'!V12</f>
        <v>0</v>
      </c>
      <c r="W15" s="56">
        <f>'Consolidated Balance Sheet'!W12</f>
        <v>0</v>
      </c>
      <c r="X15" s="56">
        <f>'Consolidated Balance Sheet'!X12</f>
        <v>0</v>
      </c>
      <c r="Y15" s="56">
        <f>'Consolidated Balance Sheet'!Y12</f>
        <v>0</v>
      </c>
      <c r="Z15" s="56">
        <f>'Consolidated Balance Sheet'!Z12</f>
        <v>0</v>
      </c>
      <c r="AA15" s="56">
        <f>'Consolidated Balance Sheet'!AA12</f>
        <v>0</v>
      </c>
      <c r="AB15" s="56">
        <f>'Consolidated Balance Sheet'!AB12</f>
        <v>0</v>
      </c>
      <c r="AC15" s="56"/>
      <c r="AD15" s="56">
        <f>'Consolidated Balance Sheet'!AD12</f>
        <v>0</v>
      </c>
      <c r="AE15" s="56"/>
      <c r="AF15" s="56">
        <f t="shared" si="3"/>
        <v>7209601.04</v>
      </c>
      <c r="AG15" s="54" t="s">
        <v>258</v>
      </c>
      <c r="AH15" s="58">
        <f t="shared" si="4"/>
        <v>5682898.3200000003</v>
      </c>
      <c r="AI15" s="63"/>
      <c r="AJ15" s="58">
        <f t="shared" si="5"/>
        <v>7209601.04</v>
      </c>
      <c r="AK15" s="58"/>
      <c r="AL15" s="58">
        <f t="shared" si="0"/>
        <v>-1526702.7199999997</v>
      </c>
      <c r="AM15" s="58"/>
      <c r="AN15" s="59">
        <f t="shared" si="6"/>
        <v>0.78824033236657443</v>
      </c>
      <c r="AO15" s="59"/>
      <c r="AP15" s="60">
        <f t="shared" si="1"/>
        <v>-0.21175966763342557</v>
      </c>
    </row>
    <row r="16" spans="1:42" s="54" customFormat="1" ht="24.95" customHeight="1" x14ac:dyDescent="0.2">
      <c r="A16" s="64" t="s">
        <v>259</v>
      </c>
      <c r="B16" s="142">
        <f>'Consolidated Balance Sheet'!B13</f>
        <v>569501</v>
      </c>
      <c r="C16" s="56"/>
      <c r="D16" s="142">
        <f>'Consolidated Balance Sheet'!D13</f>
        <v>0</v>
      </c>
      <c r="E16" s="56"/>
      <c r="F16" s="142">
        <f>'Consolidated Balance Sheet'!F13</f>
        <v>0</v>
      </c>
      <c r="G16" s="56"/>
      <c r="H16" s="142">
        <f>'Consolidated Balance Sheet'!H13</f>
        <v>0</v>
      </c>
      <c r="I16" s="56"/>
      <c r="J16" s="142">
        <f>'Consolidated Balance Sheet'!J13</f>
        <v>0</v>
      </c>
      <c r="K16" s="56"/>
      <c r="L16" s="142">
        <f>'Consolidated Balance Sheet'!L13</f>
        <v>0</v>
      </c>
      <c r="M16" s="56"/>
      <c r="N16" s="142">
        <f>'Consolidated Balance Sheet'!N13</f>
        <v>0</v>
      </c>
      <c r="O16" s="56"/>
      <c r="P16" s="56">
        <f t="shared" si="2"/>
        <v>569501</v>
      </c>
      <c r="Q16" s="64" t="s">
        <v>259</v>
      </c>
      <c r="R16" s="56">
        <f>'Consolidated Balance Sheet'!R13</f>
        <v>182789</v>
      </c>
      <c r="S16" s="56"/>
      <c r="T16" s="56">
        <f>'Consolidated Balance Sheet'!T13</f>
        <v>0</v>
      </c>
      <c r="U16" s="56"/>
      <c r="V16" s="56">
        <f>'Consolidated Balance Sheet'!V13</f>
        <v>192.95</v>
      </c>
      <c r="W16" s="56">
        <f>'Consolidated Balance Sheet'!W13</f>
        <v>0</v>
      </c>
      <c r="X16" s="56">
        <f>'Consolidated Balance Sheet'!X13</f>
        <v>0</v>
      </c>
      <c r="Y16" s="56">
        <f>'Consolidated Balance Sheet'!Y13</f>
        <v>0</v>
      </c>
      <c r="Z16" s="56">
        <f>'Consolidated Balance Sheet'!Z13</f>
        <v>0</v>
      </c>
      <c r="AA16" s="56">
        <f>'Consolidated Balance Sheet'!AA13</f>
        <v>0</v>
      </c>
      <c r="AB16" s="56">
        <f>'Consolidated Balance Sheet'!AB13</f>
        <v>0</v>
      </c>
      <c r="AC16" s="56"/>
      <c r="AD16" s="56">
        <f>'Consolidated Balance Sheet'!AD13</f>
        <v>0</v>
      </c>
      <c r="AE16" s="56"/>
      <c r="AF16" s="56">
        <f t="shared" si="3"/>
        <v>182981.95</v>
      </c>
      <c r="AG16" s="64" t="s">
        <v>259</v>
      </c>
      <c r="AH16" s="58">
        <f t="shared" si="4"/>
        <v>569501</v>
      </c>
      <c r="AI16" s="58"/>
      <c r="AJ16" s="58">
        <f t="shared" si="5"/>
        <v>182981.95</v>
      </c>
      <c r="AK16" s="58"/>
      <c r="AL16" s="58">
        <f t="shared" si="0"/>
        <v>386519.05</v>
      </c>
      <c r="AM16" s="58"/>
      <c r="AN16" s="59">
        <f t="shared" si="6"/>
        <v>3.1123343040119531</v>
      </c>
      <c r="AO16" s="59"/>
      <c r="AP16" s="60">
        <f t="shared" si="1"/>
        <v>2.1123343040119531</v>
      </c>
    </row>
    <row r="17" spans="1:43" s="54" customFormat="1" ht="24.95" customHeight="1" x14ac:dyDescent="0.2">
      <c r="A17" s="54" t="s">
        <v>481</v>
      </c>
      <c r="B17" s="142">
        <f>'Consolidated Balance Sheet'!B14+'Consolidated Balance Sheet'!B15+'Consolidated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Sheet'!B25+'Consolidated Balance Sheet'!B26+'Consolidated Balance Sheet'!B27</f>
        <v>22487906.960000053</v>
      </c>
      <c r="C17" s="56"/>
      <c r="D17" s="142">
        <f>'Consolidated Balance Sheet'!D14+'Consolidated Balance Sheet'!D15+'Consolidated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Sheet'!D25+'Consolidated Balance Sheet'!D26+'Consolidated Balance Sheet'!D27</f>
        <v>596002.46</v>
      </c>
      <c r="E17" s="56"/>
      <c r="F17" s="142">
        <f>'Consolidated Balance Sheet'!F14+'Consolidated Balance Sheet'!F15+'Consolidated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Sheet'!F25+'Consolidated Balance Sheet'!F26+'Consolidated Balance Sheet'!F27</f>
        <v>0</v>
      </c>
      <c r="G17" s="56"/>
      <c r="H17" s="142">
        <f>'Consolidated Balance Sheet'!H14+'Consolidated Balance Sheet'!H15+'Consolidated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Sheet'!H25+'Consolidated Balance Sheet'!H26+'Consolidated Balance Sheet'!H27</f>
        <v>0</v>
      </c>
      <c r="I17" s="56"/>
      <c r="J17" s="142">
        <f>'Consolidated Balance Sheet'!J14+'Consolidated Balance Sheet'!J15+'Consolidated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Sheet'!J25+'Consolidated Balance Sheet'!J26+'Consolidated Balance Sheet'!J27</f>
        <v>0</v>
      </c>
      <c r="K17" s="56"/>
      <c r="L17" s="142">
        <f>'Consolidated Balance Sheet'!L14+'Consolidated Balance Sheet'!L15+'Consolidated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Sheet'!L25+'Consolidated Balance Sheet'!L26+'Consolidated Balance Sheet'!L27</f>
        <v>0</v>
      </c>
      <c r="M17" s="51"/>
      <c r="N17" s="142">
        <f>'Consolidated Balance Sheet'!N14+'Consolidated Balance Sheet'!N15+'Consolidated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Sheet'!N25+'Consolidated Balance Sheet'!N26+'Consolidated Balance Sheet'!N27</f>
        <v>0</v>
      </c>
      <c r="O17" s="51"/>
      <c r="P17" s="56">
        <f t="shared" si="2"/>
        <v>23083909.420000054</v>
      </c>
      <c r="Q17" s="54" t="s">
        <v>481</v>
      </c>
      <c r="R17" s="56">
        <f>'Consolidated Balance Sheet'!R14+'Consolidated Balance Sheet'!R15+'Consolidated Balance Sheet'!R16+'Consolidated Balance Sheet'!R17+'Consolidated Balance Sheet'!R18+'Consolidated Balance Sheet'!R19+'Consolidated Balance Sheet'!R20+'Consolidated Balance Sheet'!R21+'Consolidated Balance Sheet'!R22+'Consolidated Balance Sheet'!R23+'Consolidated Balance Sheet'!R25+'Consolidated Balance Sheet'!R26+'Consolidated Balance Sheet'!R27</f>
        <v>8740767.1800000072</v>
      </c>
      <c r="S17" s="56"/>
      <c r="T17" s="56">
        <f>'Consolidated Balance Sheet'!T14+'Consolidated Balance Sheet'!T15+'Consolidated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Sheet'!T25+'Consolidated Balance Sheet'!T26+'Consolidated Balance Sheet'!T27</f>
        <v>268325.29000000004</v>
      </c>
      <c r="U17" s="56"/>
      <c r="V17" s="56">
        <f>'Consolidated Balance Sheet'!V14+'Consolidated Balance Sheet'!V15+'Consolidated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Sheet'!V25+'Consolidated Balance Sheet'!V26+'Consolidated Balance Sheet'!V27</f>
        <v>0</v>
      </c>
      <c r="W17" s="56">
        <f>'Consolidated Balance Sheet'!W14+'Consolidated Balance Sheet'!W15+'Consolidated Balance Sheet'!W16+'Consolidated Balance Sheet'!W17+'Consolidated Balance Sheet'!W18+'Consolidated Balance Sheet'!W19+'Consolidated Balance Sheet'!W20+'Consolidated Balance Sheet'!W21+'Consolidated Balance Sheet'!W22+'Consolidated Balance Sheet'!W23+'Consolidated Balance Sheet'!W25+'Consolidated Balance Sheet'!W26+'Consolidated Balance Sheet'!W27</f>
        <v>0</v>
      </c>
      <c r="X17" s="56">
        <f>'Consolidated Balance Sheet'!X14+'Consolidated Balance Sheet'!X15+'Consolidated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Sheet'!X25+'Consolidated Balance Sheet'!X26+'Consolidated Balance Sheet'!X27</f>
        <v>0</v>
      </c>
      <c r="Y17" s="56">
        <f>'Consolidated Balance Sheet'!Y14+'Consolidated Balance Sheet'!Y15+'Consolidated Balance Sheet'!Y16+'Consolidated Balance Sheet'!Y17+'Consolidated Balance Sheet'!Y18+'Consolidated Balance Sheet'!Y19+'Consolidated Balance Sheet'!Y20+'Consolidated Balance Sheet'!Y21+'Consolidated Balance Sheet'!Y22+'Consolidated Balance Sheet'!Y23+'Consolidated Balance Sheet'!Y25+'Consolidated Balance Sheet'!Y26+'Consolidated Balance Sheet'!Y27</f>
        <v>0</v>
      </c>
      <c r="Z17" s="56">
        <f>'Consolidated Balance Sheet'!Z14+'Consolidated Balance Sheet'!Z15+'Consolidated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Sheet'!Z25+'Consolidated Balance Sheet'!Z26+'Consolidated Balance Sheet'!Z27</f>
        <v>0</v>
      </c>
      <c r="AA17" s="56">
        <f>'Consolidated Balance Sheet'!AA14+'Consolidated Balance Sheet'!AA15+'Consolidated Balance Sheet'!AA16+'Consolidated Balance Sheet'!AA17+'Consolidated Balance Sheet'!AA18+'Consolidated Balance Sheet'!AA19+'Consolidated Balance Sheet'!AA20+'Consolidated Balance Sheet'!AA21+'Consolidated Balance Sheet'!AA22+'Consolidated Balance Sheet'!AA23+'Consolidated Balance Sheet'!AA25+'Consolidated Balance Sheet'!AA26+'Consolidated Balance Sheet'!AA27</f>
        <v>0</v>
      </c>
      <c r="AB17" s="56">
        <f>'Consolidated Balance Sheet'!AB14+'Consolidated Balance Sheet'!AB15+'Consolidated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Sheet'!AB25+'Consolidated Balance Sheet'!AB26+'Consolidated Balance Sheet'!AB27</f>
        <v>0</v>
      </c>
      <c r="AC17" s="56"/>
      <c r="AD17" s="56">
        <f>'Consolidated Balance Sheet'!AD14+'Consolidated Balance Sheet'!AD15+'Consolidated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Sheet'!AD25+'Consolidated Balance Sheet'!AD26+'Consolidated Balance Sheet'!AD27</f>
        <v>0</v>
      </c>
      <c r="AE17" s="56"/>
      <c r="AF17" s="56">
        <f t="shared" si="3"/>
        <v>9009092.4700000063</v>
      </c>
      <c r="AG17" s="54" t="s">
        <v>481</v>
      </c>
      <c r="AH17" s="58">
        <f t="shared" si="4"/>
        <v>23083909.420000054</v>
      </c>
      <c r="AI17" s="58"/>
      <c r="AJ17" s="58">
        <f t="shared" si="5"/>
        <v>9009092.4700000063</v>
      </c>
      <c r="AK17" s="58"/>
      <c r="AL17" s="58">
        <f t="shared" si="0"/>
        <v>14074816.950000048</v>
      </c>
      <c r="AM17" s="58"/>
      <c r="AN17" s="59">
        <f t="shared" si="6"/>
        <v>2.5622902081279268</v>
      </c>
      <c r="AO17" s="59"/>
      <c r="AP17" s="60">
        <f t="shared" si="1"/>
        <v>1.5622902081279268</v>
      </c>
    </row>
    <row r="18" spans="1:43" s="54" customFormat="1" ht="24.95" customHeight="1" x14ac:dyDescent="0.2">
      <c r="A18" s="54" t="s">
        <v>265</v>
      </c>
      <c r="B18" s="143">
        <f>'Consolidated Balance Sheet'!B24</f>
        <v>-19521795.489999998</v>
      </c>
      <c r="C18" s="61"/>
      <c r="D18" s="143">
        <f>'Consolidated Balance Sheet'!D24</f>
        <v>0</v>
      </c>
      <c r="E18" s="61"/>
      <c r="F18" s="143">
        <f>'Consolidated Balance Sheet'!F24</f>
        <v>0</v>
      </c>
      <c r="G18" s="61"/>
      <c r="H18" s="143">
        <f>'Consolidated Balance Sheet'!H24</f>
        <v>0</v>
      </c>
      <c r="I18" s="61"/>
      <c r="J18" s="143">
        <f>'Consolidated Balance Sheet'!J24</f>
        <v>0</v>
      </c>
      <c r="K18" s="61"/>
      <c r="L18" s="143">
        <f>'Consolidated Balance Sheet'!L24</f>
        <v>0</v>
      </c>
      <c r="M18" s="62"/>
      <c r="N18" s="143">
        <f>'Consolidated Balance Sheet'!N24</f>
        <v>0</v>
      </c>
      <c r="O18" s="62"/>
      <c r="P18" s="56">
        <f t="shared" si="2"/>
        <v>-19521795.489999998</v>
      </c>
      <c r="Q18" s="54" t="s">
        <v>265</v>
      </c>
      <c r="R18" s="56">
        <f>'Consolidated Balance Sheet'!R24</f>
        <v>-15809754.970000001</v>
      </c>
      <c r="S18" s="56"/>
      <c r="T18" s="56">
        <f>'Consolidated Balance Sheet'!T24</f>
        <v>0</v>
      </c>
      <c r="U18" s="56"/>
      <c r="V18" s="56">
        <f>'Consolidated Balance Sheet'!V24</f>
        <v>0</v>
      </c>
      <c r="W18" s="56">
        <f>'Consolidated Balance Sheet'!W24</f>
        <v>0</v>
      </c>
      <c r="X18" s="56">
        <f>'Consolidated Balance Sheet'!X24</f>
        <v>0</v>
      </c>
      <c r="Y18" s="56">
        <f>'Consolidated Balance Sheet'!Y24</f>
        <v>0</v>
      </c>
      <c r="Z18" s="56">
        <f>'Consolidated Balance Sheet'!Z24</f>
        <v>0</v>
      </c>
      <c r="AA18" s="56">
        <f>'Consolidated Balance Sheet'!AA24</f>
        <v>0</v>
      </c>
      <c r="AB18" s="56">
        <f>'Consolidated Balance Sheet'!AB24</f>
        <v>0</v>
      </c>
      <c r="AC18" s="56"/>
      <c r="AD18" s="56">
        <f>'Consolidated Balance Sheet'!AD24</f>
        <v>0</v>
      </c>
      <c r="AE18" s="56"/>
      <c r="AF18" s="56">
        <f t="shared" si="3"/>
        <v>-15809754.970000001</v>
      </c>
      <c r="AG18" s="54" t="s">
        <v>265</v>
      </c>
      <c r="AH18" s="58">
        <f t="shared" si="4"/>
        <v>-19521795.489999998</v>
      </c>
      <c r="AI18" s="63"/>
      <c r="AJ18" s="58">
        <f t="shared" si="5"/>
        <v>-15809754.970000001</v>
      </c>
      <c r="AK18" s="58"/>
      <c r="AL18" s="58">
        <f t="shared" si="0"/>
        <v>-3712040.5199999977</v>
      </c>
      <c r="AM18" s="58"/>
      <c r="AN18" s="59">
        <f t="shared" si="6"/>
        <v>1.2347943106672954</v>
      </c>
      <c r="AO18" s="59"/>
      <c r="AP18" s="60">
        <f t="shared" si="1"/>
        <v>0.23479431066729539</v>
      </c>
    </row>
    <row r="19" spans="1:43" s="54" customFormat="1" ht="24.95" customHeight="1" x14ac:dyDescent="0.2">
      <c r="A19" s="54" t="s">
        <v>276</v>
      </c>
      <c r="B19" s="144">
        <f>'Consolidated Balance Sheet'!B39</f>
        <v>1773482.99</v>
      </c>
      <c r="C19" s="66"/>
      <c r="D19" s="144">
        <f>'Consolidated Balance Sheet'!D39</f>
        <v>16373.9</v>
      </c>
      <c r="E19" s="66"/>
      <c r="F19" s="144">
        <f>'Consolidated Balance Sheet'!F39</f>
        <v>43909.01</v>
      </c>
      <c r="G19" s="66"/>
      <c r="H19" s="144">
        <f>'Consolidated Balance Sheet'!H39</f>
        <v>9268.32</v>
      </c>
      <c r="I19" s="66"/>
      <c r="J19" s="144">
        <f>'Consolidated Balance Sheet'!J39</f>
        <v>1546</v>
      </c>
      <c r="K19" s="66"/>
      <c r="L19" s="144">
        <f>'Consolidated Balance Sheet'!L39</f>
        <v>0</v>
      </c>
      <c r="M19" s="66"/>
      <c r="N19" s="144">
        <f>'Consolidated Balance Sheet'!N39</f>
        <v>0</v>
      </c>
      <c r="O19" s="66"/>
      <c r="P19" s="66">
        <f t="shared" si="2"/>
        <v>1844580.22</v>
      </c>
      <c r="Q19" s="54" t="s">
        <v>276</v>
      </c>
      <c r="R19" s="66">
        <f>'Consolidated Balance Sheet'!R39</f>
        <v>8088962.8600000003</v>
      </c>
      <c r="S19" s="66"/>
      <c r="T19" s="66">
        <f>'Consolidated Balance Sheet'!T39</f>
        <v>19735.87</v>
      </c>
      <c r="U19" s="66"/>
      <c r="V19" s="66">
        <f>'Consolidated Balance Sheet'!V39</f>
        <v>336923.07</v>
      </c>
      <c r="W19" s="66"/>
      <c r="X19" s="66">
        <f>'Consolidated Balance Sheet'!X39</f>
        <v>0</v>
      </c>
      <c r="Y19" s="66"/>
      <c r="Z19" s="66">
        <f>'Consolidated Balance Sheet'!Z39</f>
        <v>0</v>
      </c>
      <c r="AA19" s="66"/>
      <c r="AB19" s="66">
        <f>'Consolidated Balance Sheet'!AB39</f>
        <v>0</v>
      </c>
      <c r="AC19" s="66"/>
      <c r="AD19" s="66">
        <f>'Consolidated Balance Sheet'!AD39</f>
        <v>0</v>
      </c>
      <c r="AE19" s="66"/>
      <c r="AF19" s="66">
        <f t="shared" si="3"/>
        <v>8445621.8000000007</v>
      </c>
      <c r="AG19" s="54" t="s">
        <v>276</v>
      </c>
      <c r="AH19" s="66">
        <f>P19</f>
        <v>1844580.22</v>
      </c>
      <c r="AI19" s="66"/>
      <c r="AJ19" s="66">
        <f>AF19</f>
        <v>8445621.8000000007</v>
      </c>
      <c r="AK19" s="66"/>
      <c r="AL19" s="66">
        <f>AH19-AJ19</f>
        <v>-6601041.580000001</v>
      </c>
      <c r="AM19" s="63"/>
      <c r="AN19" s="59">
        <f t="shared" si="6"/>
        <v>0.21840668025177257</v>
      </c>
      <c r="AO19" s="59"/>
      <c r="AP19" s="60">
        <f>AN19-1</f>
        <v>-0.78159331974822743</v>
      </c>
    </row>
    <row r="20" spans="1:43" s="54" customFormat="1" ht="24.95" customHeight="1" x14ac:dyDescent="0.2">
      <c r="A20" s="73" t="s">
        <v>277</v>
      </c>
      <c r="B20" s="143">
        <f>SUM(B10:B19)</f>
        <v>28567486.660000056</v>
      </c>
      <c r="C20" s="61"/>
      <c r="D20" s="143">
        <f>SUM(D10:D19)</f>
        <v>4585863.0600000005</v>
      </c>
      <c r="E20" s="61"/>
      <c r="F20" s="143">
        <f>SUM(F10:F19)</f>
        <v>4899154.9399999995</v>
      </c>
      <c r="G20" s="61"/>
      <c r="H20" s="143">
        <f>SUM(H10:H19)</f>
        <v>704352.0199999999</v>
      </c>
      <c r="I20" s="61"/>
      <c r="J20" s="143">
        <f>SUM(J10:J19)</f>
        <v>502453.23</v>
      </c>
      <c r="K20" s="61"/>
      <c r="L20" s="143">
        <f>SUM(L10:L19)</f>
        <v>1832314.51</v>
      </c>
      <c r="M20" s="61"/>
      <c r="N20" s="143">
        <f>SUM(N10:N19)</f>
        <v>214907.86</v>
      </c>
      <c r="O20" s="61"/>
      <c r="P20" s="61">
        <f>SUM(P10:P19)</f>
        <v>41306532.280000061</v>
      </c>
      <c r="Q20" s="75" t="s">
        <v>277</v>
      </c>
      <c r="R20" s="61">
        <f>SUM(R10:R19)</f>
        <v>22489004.380000006</v>
      </c>
      <c r="S20" s="61"/>
      <c r="T20" s="61">
        <f t="shared" ref="T20:AC20" si="7">SUM(T10:T19)</f>
        <v>2845438.13</v>
      </c>
      <c r="U20" s="61"/>
      <c r="V20" s="61">
        <f t="shared" si="7"/>
        <v>3371947.48</v>
      </c>
      <c r="W20" s="61">
        <f t="shared" si="7"/>
        <v>0</v>
      </c>
      <c r="X20" s="61">
        <f t="shared" si="7"/>
        <v>1922633.5099999998</v>
      </c>
      <c r="Y20" s="61">
        <f t="shared" si="7"/>
        <v>0</v>
      </c>
      <c r="Z20" s="61">
        <f t="shared" si="7"/>
        <v>462892.4</v>
      </c>
      <c r="AA20" s="61">
        <f t="shared" si="7"/>
        <v>0</v>
      </c>
      <c r="AB20" s="61">
        <f t="shared" si="7"/>
        <v>1792425.7</v>
      </c>
      <c r="AC20" s="61">
        <f t="shared" si="7"/>
        <v>0</v>
      </c>
      <c r="AD20" s="61">
        <f>SUM(AD10:AD19)</f>
        <v>275530.45</v>
      </c>
      <c r="AE20" s="61">
        <f>SUM(AE10:AE19)</f>
        <v>0</v>
      </c>
      <c r="AF20" s="61">
        <f>SUM(AF10:AF19)</f>
        <v>33159872.050000001</v>
      </c>
      <c r="AG20" s="73" t="s">
        <v>277</v>
      </c>
      <c r="AH20" s="61">
        <f>SUM(AH10:AH19)</f>
        <v>41306532.280000061</v>
      </c>
      <c r="AI20" s="61"/>
      <c r="AJ20" s="61">
        <f>SUM(AJ10:AJ19)</f>
        <v>33159872.050000001</v>
      </c>
      <c r="AK20" s="61"/>
      <c r="AL20" s="61">
        <f>SUM(AL10:AL19)</f>
        <v>8146660.2300000517</v>
      </c>
      <c r="AM20" s="63"/>
      <c r="AN20" s="59">
        <f t="shared" si="6"/>
        <v>1.245678276976345</v>
      </c>
      <c r="AO20" s="59"/>
      <c r="AP20" s="60">
        <f>AN20-1</f>
        <v>0.24567827697634503</v>
      </c>
      <c r="AQ20" s="77">
        <f>AH20-P20</f>
        <v>0</v>
      </c>
    </row>
    <row r="21" spans="1:43" s="54" customFormat="1" ht="24.95" customHeight="1" x14ac:dyDescent="0.2">
      <c r="B21" s="142"/>
      <c r="C21" s="56"/>
      <c r="D21" s="142"/>
      <c r="E21" s="56"/>
      <c r="F21" s="142"/>
      <c r="G21" s="56"/>
      <c r="H21" s="141"/>
      <c r="I21" s="51"/>
      <c r="J21" s="141"/>
      <c r="K21" s="51"/>
      <c r="L21" s="141"/>
      <c r="M21" s="51"/>
      <c r="N21" s="141"/>
      <c r="O21" s="51"/>
      <c r="P21" s="52"/>
      <c r="Q21" s="51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N21" s="71"/>
      <c r="AO21" s="71"/>
      <c r="AP21" s="72"/>
    </row>
    <row r="22" spans="1:43" s="54" customFormat="1" ht="24.95" customHeight="1" x14ac:dyDescent="0.2">
      <c r="A22" s="50" t="s">
        <v>278</v>
      </c>
      <c r="B22" s="142"/>
      <c r="C22" s="56"/>
      <c r="D22" s="142"/>
      <c r="E22" s="56"/>
      <c r="F22" s="142"/>
      <c r="G22" s="56"/>
      <c r="H22" s="141"/>
      <c r="I22" s="51"/>
      <c r="J22" s="141"/>
      <c r="K22" s="51"/>
      <c r="L22" s="141"/>
      <c r="M22" s="51"/>
      <c r="N22" s="141"/>
      <c r="O22" s="51"/>
      <c r="P22" s="52"/>
      <c r="Q22" s="53" t="s">
        <v>278</v>
      </c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0" t="s">
        <v>278</v>
      </c>
      <c r="AN22" s="71"/>
      <c r="AO22" s="71"/>
      <c r="AP22" s="72"/>
    </row>
    <row r="23" spans="1:43" s="54" customFormat="1" ht="24.95" customHeight="1" x14ac:dyDescent="0.2">
      <c r="A23" s="54" t="s">
        <v>482</v>
      </c>
      <c r="B23" s="142">
        <f>'Consolidated Balance Sheet'!B56+-'Consolidated Balance Sheet'!B55</f>
        <v>17260518.620000001</v>
      </c>
      <c r="C23" s="56"/>
      <c r="D23" s="142">
        <f>'Consolidated Balance Sheet'!D56+-'Consolidated Balance Sheet'!D55</f>
        <v>28814.959999999999</v>
      </c>
      <c r="E23" s="56"/>
      <c r="F23" s="142">
        <f>'Consolidated Balance Sheet'!F56+-'Consolidated Balance Sheet'!F55</f>
        <v>1050651.1400000001</v>
      </c>
      <c r="G23" s="56"/>
      <c r="H23" s="142">
        <f>'Consolidated Balance Sheet'!H56+-'Consolidated Balance Sheet'!H55</f>
        <v>0</v>
      </c>
      <c r="I23" s="56"/>
      <c r="J23" s="142">
        <f>'Consolidated Balance Sheet'!J56+-'Consolidated Balance Sheet'!J55</f>
        <v>3942698.5999999996</v>
      </c>
      <c r="K23" s="56"/>
      <c r="L23" s="142">
        <f>'Consolidated Balance Sheet'!L56+-'Consolidated Balance Sheet'!L55</f>
        <v>4810642.5599999996</v>
      </c>
      <c r="M23" s="51"/>
      <c r="N23" s="142">
        <f>'Consolidated Balance Sheet'!N56+-'Consolidated Balance Sheet'!N55</f>
        <v>9099006.1599999983</v>
      </c>
      <c r="O23" s="51"/>
      <c r="P23" s="56">
        <f>SUM(B23:N23)</f>
        <v>36192332.039999999</v>
      </c>
      <c r="Q23" s="54" t="s">
        <v>482</v>
      </c>
      <c r="R23" s="56">
        <f>'Consolidated Balance Sheet'!R56+-'Consolidated Balance Sheet'!R55</f>
        <v>16407655.560000001</v>
      </c>
      <c r="S23" s="56"/>
      <c r="T23" s="56">
        <f>'Consolidated Balance Sheet'!T56+-'Consolidated Balance Sheet'!T55</f>
        <v>28814.959999999999</v>
      </c>
      <c r="U23" s="56"/>
      <c r="V23" s="56">
        <f>'Consolidated Balance Sheet'!V56+-'Consolidated Balance Sheet'!V55</f>
        <v>1017777.87</v>
      </c>
      <c r="W23" s="56"/>
      <c r="X23" s="56">
        <f>'Consolidated Balance Sheet'!X56+-'Consolidated Balance Sheet'!X55</f>
        <v>0</v>
      </c>
      <c r="Y23" s="56"/>
      <c r="Z23" s="56">
        <f>'Consolidated Balance Sheet'!Z56+-'Consolidated Balance Sheet'!Z55</f>
        <v>3916402.0799999996</v>
      </c>
      <c r="AA23" s="56"/>
      <c r="AB23" s="56">
        <f>'Consolidated Balance Sheet'!AB56+-'Consolidated Balance Sheet'!AB55</f>
        <v>4812251.88</v>
      </c>
      <c r="AC23" s="56"/>
      <c r="AD23" s="56">
        <f>'Consolidated Balance Sheet'!AD56+-'Consolidated Balance Sheet'!AD55</f>
        <v>8523868.0599999987</v>
      </c>
      <c r="AE23" s="56"/>
      <c r="AF23" s="56">
        <f>SUM(R23:AD23)</f>
        <v>34706770.409999996</v>
      </c>
      <c r="AG23" s="54" t="s">
        <v>482</v>
      </c>
      <c r="AH23" s="63">
        <f>P23</f>
        <v>36192332.039999999</v>
      </c>
      <c r="AI23" s="63"/>
      <c r="AJ23" s="63">
        <f>AF23</f>
        <v>34706770.409999996</v>
      </c>
      <c r="AK23" s="63"/>
      <c r="AL23" s="63">
        <f>AH23-AJ23</f>
        <v>1485561.6300000027</v>
      </c>
      <c r="AM23" s="63"/>
      <c r="AN23" s="59">
        <f t="shared" ref="AN23:AN29" si="8">AH23/AJ23</f>
        <v>1.0428032229000475</v>
      </c>
      <c r="AO23" s="59"/>
      <c r="AP23" s="60">
        <f t="shared" ref="AP23:AP29" si="9">AN23-1</f>
        <v>4.2803222900047455E-2</v>
      </c>
    </row>
    <row r="24" spans="1:43" s="54" customFormat="1" ht="24.95" customHeight="1" x14ac:dyDescent="0.2">
      <c r="A24" s="54" t="s">
        <v>529</v>
      </c>
      <c r="B24" s="144">
        <f>'Consolidated Balance Sheet'!B55</f>
        <v>-7528469.54</v>
      </c>
      <c r="C24" s="66"/>
      <c r="D24" s="144">
        <f>'Consolidated Balance Sheet'!D55</f>
        <v>-11907.03</v>
      </c>
      <c r="E24" s="66"/>
      <c r="F24" s="144">
        <f>'Consolidated Balance Sheet'!F55</f>
        <v>-582828.01</v>
      </c>
      <c r="G24" s="66"/>
      <c r="H24" s="144">
        <f>'Consolidated Balance Sheet'!H55</f>
        <v>0</v>
      </c>
      <c r="I24" s="66"/>
      <c r="J24" s="144">
        <f>'Consolidated Balance Sheet'!J55</f>
        <v>-2422939.66</v>
      </c>
      <c r="K24" s="66"/>
      <c r="L24" s="144">
        <f>'Consolidated Balance Sheet'!L55</f>
        <v>-1427483.38</v>
      </c>
      <c r="M24" s="67"/>
      <c r="N24" s="144">
        <f>'Consolidated Balance Sheet'!N55</f>
        <v>-1061402.28</v>
      </c>
      <c r="O24" s="67"/>
      <c r="P24" s="66">
        <f>SUM(B24:N24)</f>
        <v>-13035029.9</v>
      </c>
      <c r="Q24" s="51" t="s">
        <v>529</v>
      </c>
      <c r="R24" s="66">
        <f>'Consolidated Balance Sheet'!R55</f>
        <v>-6203700.3399999999</v>
      </c>
      <c r="S24" s="66"/>
      <c r="T24" s="66">
        <f>'Consolidated Balance Sheet'!T55</f>
        <v>-7000</v>
      </c>
      <c r="U24" s="66"/>
      <c r="V24" s="66">
        <f>'Consolidated Balance Sheet'!V55</f>
        <v>-448708.12</v>
      </c>
      <c r="W24" s="66"/>
      <c r="X24" s="66">
        <f>'Consolidated Balance Sheet'!X55</f>
        <v>0</v>
      </c>
      <c r="Y24" s="66"/>
      <c r="Z24" s="66">
        <f>'Consolidated Balance Sheet'!Z55</f>
        <v>-2317147.6</v>
      </c>
      <c r="AA24" s="66"/>
      <c r="AB24" s="66">
        <f>'Consolidated Balance Sheet'!AB55</f>
        <v>-1258823.8899999999</v>
      </c>
      <c r="AC24" s="66"/>
      <c r="AD24" s="66">
        <f>'Consolidated Balance Sheet'!AD55</f>
        <v>-778030.44</v>
      </c>
      <c r="AE24" s="66"/>
      <c r="AF24" s="66">
        <f>SUM(R24:AD24)</f>
        <v>-11013410.390000001</v>
      </c>
      <c r="AG24" s="54" t="s">
        <v>529</v>
      </c>
      <c r="AH24" s="68">
        <f>P24</f>
        <v>-13035029.9</v>
      </c>
      <c r="AI24" s="68"/>
      <c r="AJ24" s="68">
        <f>AF24</f>
        <v>-11013410.390000001</v>
      </c>
      <c r="AK24" s="68"/>
      <c r="AL24" s="68">
        <f>AH24-AJ24</f>
        <v>-2021619.5099999998</v>
      </c>
      <c r="AM24" s="63"/>
      <c r="AN24" s="59">
        <f t="shared" si="8"/>
        <v>1.1835598092154631</v>
      </c>
      <c r="AO24" s="59"/>
      <c r="AP24" s="60">
        <f t="shared" si="9"/>
        <v>0.18355980921546311</v>
      </c>
    </row>
    <row r="25" spans="1:43" s="54" customFormat="1" ht="24.95" customHeight="1" x14ac:dyDescent="0.2">
      <c r="A25" s="73" t="s">
        <v>338</v>
      </c>
      <c r="B25" s="142">
        <f>SUM(B23:B24)</f>
        <v>9732049.0800000019</v>
      </c>
      <c r="C25" s="56"/>
      <c r="D25" s="142">
        <f>SUM(D23:D24)</f>
        <v>16907.93</v>
      </c>
      <c r="E25" s="56"/>
      <c r="F25" s="142">
        <f>SUM(F23:F24)</f>
        <v>467823.13000000012</v>
      </c>
      <c r="G25" s="56"/>
      <c r="H25" s="142">
        <f>SUM(H23:H24)</f>
        <v>0</v>
      </c>
      <c r="I25" s="56"/>
      <c r="J25" s="142">
        <f>SUM(J23:J24)</f>
        <v>1519758.9399999995</v>
      </c>
      <c r="K25" s="56"/>
      <c r="L25" s="142">
        <f>SUM(L23:L24)</f>
        <v>3383159.1799999997</v>
      </c>
      <c r="M25" s="56"/>
      <c r="N25" s="142">
        <f>SUM(N23:N24)</f>
        <v>8037603.879999998</v>
      </c>
      <c r="O25" s="56"/>
      <c r="P25" s="56">
        <f>SUM(P23:P24)</f>
        <v>23157302.140000001</v>
      </c>
      <c r="Q25" s="75" t="s">
        <v>338</v>
      </c>
      <c r="R25" s="56">
        <f>SUM(R23:R24)</f>
        <v>10203955.220000001</v>
      </c>
      <c r="S25" s="56"/>
      <c r="T25" s="56">
        <f>SUM(T23:T24)</f>
        <v>21814.959999999999</v>
      </c>
      <c r="U25" s="56"/>
      <c r="V25" s="56">
        <f>SUM(V23:V24)</f>
        <v>569069.75</v>
      </c>
      <c r="W25" s="56"/>
      <c r="X25" s="56">
        <f>SUM(X23:X24)</f>
        <v>0</v>
      </c>
      <c r="Y25" s="56"/>
      <c r="Z25" s="56">
        <f>SUM(Z23:Z24)</f>
        <v>1599254.4799999995</v>
      </c>
      <c r="AA25" s="56"/>
      <c r="AB25" s="56">
        <f>SUM(AB23:AB24)</f>
        <v>3553427.99</v>
      </c>
      <c r="AC25" s="56"/>
      <c r="AD25" s="56">
        <f>SUM(AD23:AD24)</f>
        <v>7745837.6199999992</v>
      </c>
      <c r="AE25" s="56"/>
      <c r="AF25" s="56">
        <f>SUM(AF23:AF24)</f>
        <v>23693360.019999996</v>
      </c>
      <c r="AG25" s="73" t="s">
        <v>338</v>
      </c>
      <c r="AH25" s="77">
        <f>SUM(AH23:AH24)</f>
        <v>23157302.140000001</v>
      </c>
      <c r="AI25" s="77"/>
      <c r="AJ25" s="77">
        <f>SUM(AJ23:AJ24)</f>
        <v>23693360.019999996</v>
      </c>
      <c r="AK25" s="77"/>
      <c r="AL25" s="77">
        <f>SUM(AL23:AL24)</f>
        <v>-536057.87999999709</v>
      </c>
      <c r="AM25" s="77"/>
      <c r="AN25" s="59">
        <f t="shared" si="8"/>
        <v>0.97737518530307654</v>
      </c>
      <c r="AO25" s="59"/>
      <c r="AP25" s="60">
        <f t="shared" si="9"/>
        <v>-2.2624814696923456E-2</v>
      </c>
    </row>
    <row r="26" spans="1:43" s="54" customFormat="1" ht="24.95" customHeight="1" x14ac:dyDescent="0.2">
      <c r="A26" s="73"/>
      <c r="B26" s="142">
        <f>B25-'Consolidated Balance Sheet'!B56</f>
        <v>0</v>
      </c>
      <c r="C26" s="56"/>
      <c r="D26" s="142"/>
      <c r="E26" s="56"/>
      <c r="F26" s="142"/>
      <c r="G26" s="56"/>
      <c r="H26" s="142"/>
      <c r="I26" s="56"/>
      <c r="J26" s="142"/>
      <c r="K26" s="56"/>
      <c r="L26" s="142"/>
      <c r="M26" s="56"/>
      <c r="N26" s="142"/>
      <c r="O26" s="56"/>
      <c r="P26" s="56"/>
      <c r="Q26" s="75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73"/>
      <c r="AH26" s="77"/>
      <c r="AI26" s="77"/>
      <c r="AJ26" s="77"/>
      <c r="AK26" s="77"/>
      <c r="AL26" s="77"/>
      <c r="AM26" s="77"/>
      <c r="AN26" s="59"/>
      <c r="AO26" s="71"/>
      <c r="AP26" s="60"/>
    </row>
    <row r="27" spans="1:43" s="54" customFormat="1" ht="24.95" customHeight="1" x14ac:dyDescent="0.2">
      <c r="A27" s="54" t="s">
        <v>412</v>
      </c>
      <c r="B27" s="142">
        <f>'Consolidated Balance Sheet'!B58</f>
        <v>2666.5599999999977</v>
      </c>
      <c r="C27" s="56"/>
      <c r="D27" s="142">
        <f>'Consolidated Balance Sheet'!D58</f>
        <v>0</v>
      </c>
      <c r="E27" s="56"/>
      <c r="F27" s="142">
        <f>'Consolidated Balance Sheet'!F58</f>
        <v>0</v>
      </c>
      <c r="G27" s="56"/>
      <c r="H27" s="142">
        <f>'Consolidated Balance Sheet'!H58</f>
        <v>0</v>
      </c>
      <c r="I27" s="56"/>
      <c r="J27" s="142">
        <f>'Consolidated Balance Sheet'!J58</f>
        <v>0</v>
      </c>
      <c r="K27" s="56"/>
      <c r="L27" s="142">
        <f>'Consolidated Balance Sheet'!L58</f>
        <v>0</v>
      </c>
      <c r="M27" s="56"/>
      <c r="N27" s="142">
        <f>'Consolidated Balance Sheet'!N58</f>
        <v>0</v>
      </c>
      <c r="O27" s="56"/>
      <c r="P27" s="56">
        <f>SUM(B27:N27)</f>
        <v>2666.5599999999977</v>
      </c>
      <c r="Q27" s="54" t="s">
        <v>412</v>
      </c>
      <c r="R27" s="56">
        <f>'Consolidated Balance Sheet'!R58</f>
        <v>5999.8600000000151</v>
      </c>
      <c r="S27" s="56"/>
      <c r="T27" s="56">
        <f>'Consolidated Balance Sheet'!T58</f>
        <v>0</v>
      </c>
      <c r="U27" s="56"/>
      <c r="V27" s="56">
        <f>'Consolidated Balance Sheet'!V58</f>
        <v>0</v>
      </c>
      <c r="W27" s="56"/>
      <c r="X27" s="56">
        <f>'Consolidated Balance Sheet'!X58</f>
        <v>0</v>
      </c>
      <c r="Y27" s="56"/>
      <c r="Z27" s="56">
        <f>'Consolidated Balance Sheet'!Z58</f>
        <v>0</v>
      </c>
      <c r="AA27" s="56"/>
      <c r="AB27" s="56">
        <f>'Consolidated Balance Sheet'!AB58</f>
        <v>0</v>
      </c>
      <c r="AC27" s="56"/>
      <c r="AD27" s="56">
        <f>'Consolidated Balance Sheet'!AD58</f>
        <v>0</v>
      </c>
      <c r="AE27" s="56"/>
      <c r="AF27" s="56">
        <f>SUM(R27:AD27)</f>
        <v>5999.8600000000151</v>
      </c>
      <c r="AG27" s="54" t="s">
        <v>412</v>
      </c>
      <c r="AH27" s="77">
        <f>P27</f>
        <v>2666.5599999999977</v>
      </c>
      <c r="AI27" s="63"/>
      <c r="AJ27" s="63">
        <f>AF27</f>
        <v>5999.8600000000151</v>
      </c>
      <c r="AK27" s="63"/>
      <c r="AL27" s="77">
        <f>AH27-AJ27</f>
        <v>-3333.3000000000175</v>
      </c>
      <c r="AM27" s="63"/>
      <c r="AN27" s="59">
        <f t="shared" si="8"/>
        <v>0.444437036864192</v>
      </c>
      <c r="AO27" s="59"/>
      <c r="AP27" s="60">
        <f t="shared" si="9"/>
        <v>-0.555562963135808</v>
      </c>
    </row>
    <row r="28" spans="1:43" s="54" customFormat="1" ht="24.95" customHeight="1" x14ac:dyDescent="0.2">
      <c r="B28" s="142"/>
      <c r="C28" s="56"/>
      <c r="D28" s="142"/>
      <c r="E28" s="56"/>
      <c r="F28" s="142"/>
      <c r="G28" s="56"/>
      <c r="H28" s="142"/>
      <c r="I28" s="56"/>
      <c r="J28" s="142"/>
      <c r="K28" s="56"/>
      <c r="L28" s="142"/>
      <c r="M28" s="56"/>
      <c r="N28" s="142"/>
      <c r="O28" s="56"/>
      <c r="P28" s="56"/>
      <c r="Q28" s="51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H28" s="77"/>
      <c r="AI28" s="63"/>
      <c r="AJ28" s="63"/>
      <c r="AK28" s="63"/>
      <c r="AL28" s="63"/>
      <c r="AM28" s="63"/>
      <c r="AN28" s="59"/>
      <c r="AO28" s="59"/>
      <c r="AP28" s="60"/>
    </row>
    <row r="29" spans="1:43" s="54" customFormat="1" ht="24.95" customHeight="1" thickBot="1" x14ac:dyDescent="0.25">
      <c r="A29" s="50" t="s">
        <v>292</v>
      </c>
      <c r="B29" s="146">
        <f>B27+B25+B20</f>
        <v>38302202.300000057</v>
      </c>
      <c r="C29" s="79"/>
      <c r="D29" s="146">
        <f>SUM(D25,D20,D27)</f>
        <v>4602770.99</v>
      </c>
      <c r="E29" s="79"/>
      <c r="F29" s="146">
        <f>SUM(F25,F20,F27)</f>
        <v>5366978.0699999994</v>
      </c>
      <c r="G29" s="79"/>
      <c r="H29" s="146">
        <f>SUM(H25,H20,H27)</f>
        <v>704352.0199999999</v>
      </c>
      <c r="I29" s="79"/>
      <c r="J29" s="146">
        <f>SUM(J25,J20,J27)</f>
        <v>2022212.1699999995</v>
      </c>
      <c r="K29" s="79"/>
      <c r="L29" s="146">
        <f>SUM(L25,L20,L27)</f>
        <v>5215473.6899999995</v>
      </c>
      <c r="M29" s="79"/>
      <c r="N29" s="146">
        <f>SUM(N25,N20,N27)</f>
        <v>8252511.7399999984</v>
      </c>
      <c r="O29" s="79"/>
      <c r="P29" s="79">
        <f>SUM(P25,P20,P27)</f>
        <v>64466500.980000064</v>
      </c>
      <c r="Q29" s="53" t="s">
        <v>292</v>
      </c>
      <c r="R29" s="79">
        <f>SUM(R25,R20,R27)</f>
        <v>32698959.460000008</v>
      </c>
      <c r="S29" s="79"/>
      <c r="T29" s="79">
        <f>SUM(T25,T20,T27)</f>
        <v>2867253.09</v>
      </c>
      <c r="U29" s="79"/>
      <c r="V29" s="79">
        <f>SUM(V25,V20,V27)</f>
        <v>3941017.23</v>
      </c>
      <c r="W29" s="79"/>
      <c r="X29" s="79">
        <f>SUM(X25,X20,X27)</f>
        <v>1922633.5099999998</v>
      </c>
      <c r="Y29" s="79"/>
      <c r="Z29" s="79">
        <f>SUM(Z25,Z20,Z27)</f>
        <v>2062146.8799999994</v>
      </c>
      <c r="AA29" s="79"/>
      <c r="AB29" s="79">
        <f>SUM(AB25,AB20,AB27)</f>
        <v>5345853.6900000004</v>
      </c>
      <c r="AC29" s="79"/>
      <c r="AD29" s="79">
        <f>SUM(AD25,AD20,AD27)</f>
        <v>8021368.0699999994</v>
      </c>
      <c r="AE29" s="79"/>
      <c r="AF29" s="79">
        <f>SUM(AF25,AF20,AF27)</f>
        <v>56859231.929999992</v>
      </c>
      <c r="AG29" s="50" t="s">
        <v>292</v>
      </c>
      <c r="AH29" s="81">
        <f>SUM(AH25,AH20,AH27)</f>
        <v>64466500.980000064</v>
      </c>
      <c r="AI29" s="81"/>
      <c r="AJ29" s="81">
        <f>SUM(AJ25,AJ20,AJ27)</f>
        <v>56859231.929999992</v>
      </c>
      <c r="AK29" s="81"/>
      <c r="AL29" s="81">
        <f>SUM(AL25,AL20,AL27)</f>
        <v>7607269.0500000548</v>
      </c>
      <c r="AM29" s="82"/>
      <c r="AN29" s="59">
        <f t="shared" si="8"/>
        <v>1.1337912734974236</v>
      </c>
      <c r="AO29" s="59"/>
      <c r="AP29" s="60">
        <f t="shared" si="9"/>
        <v>0.13379127349742359</v>
      </c>
      <c r="AQ29" s="77"/>
    </row>
    <row r="30" spans="1:43" s="54" customFormat="1" ht="24.95" customHeight="1" thickTop="1" x14ac:dyDescent="0.2">
      <c r="B30" s="142"/>
      <c r="C30" s="56"/>
      <c r="D30" s="142"/>
      <c r="E30" s="56"/>
      <c r="F30" s="142"/>
      <c r="G30" s="56"/>
      <c r="H30" s="141"/>
      <c r="I30" s="51"/>
      <c r="J30" s="141"/>
      <c r="K30" s="51"/>
      <c r="L30" s="141"/>
      <c r="M30" s="51"/>
      <c r="N30" s="141"/>
      <c r="O30" s="51"/>
      <c r="P30" s="52"/>
      <c r="Q30" s="51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P30" s="83"/>
    </row>
    <row r="31" spans="1:43" s="54" customFormat="1" ht="24.95" customHeight="1" x14ac:dyDescent="0.2">
      <c r="A31" s="50" t="s">
        <v>105</v>
      </c>
      <c r="B31" s="142"/>
      <c r="C31" s="56"/>
      <c r="D31" s="142"/>
      <c r="E31" s="56"/>
      <c r="F31" s="142"/>
      <c r="G31" s="56"/>
      <c r="H31" s="141"/>
      <c r="I31" s="51"/>
      <c r="J31" s="141"/>
      <c r="K31" s="51"/>
      <c r="L31" s="141"/>
      <c r="M31" s="51"/>
      <c r="N31" s="141"/>
      <c r="O31" s="51"/>
      <c r="P31" s="52"/>
      <c r="Q31" s="53" t="s">
        <v>105</v>
      </c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0" t="s">
        <v>105</v>
      </c>
      <c r="AP31" s="72"/>
    </row>
    <row r="32" spans="1:43" s="54" customFormat="1" ht="24.95" customHeight="1" x14ac:dyDescent="0.2">
      <c r="A32" s="50" t="s">
        <v>293</v>
      </c>
      <c r="B32" s="142"/>
      <c r="C32" s="56"/>
      <c r="D32" s="142"/>
      <c r="E32" s="56"/>
      <c r="F32" s="142"/>
      <c r="G32" s="56"/>
      <c r="H32" s="141"/>
      <c r="I32" s="51"/>
      <c r="J32" s="141"/>
      <c r="K32" s="51"/>
      <c r="L32" s="141"/>
      <c r="M32" s="51"/>
      <c r="N32" s="141"/>
      <c r="O32" s="51"/>
      <c r="P32" s="52"/>
      <c r="Q32" s="53" t="s">
        <v>293</v>
      </c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0" t="s">
        <v>293</v>
      </c>
      <c r="AP32" s="72"/>
    </row>
    <row r="33" spans="1:42" s="54" customFormat="1" ht="24.95" customHeight="1" x14ac:dyDescent="0.2">
      <c r="A33" s="54" t="s">
        <v>294</v>
      </c>
      <c r="B33" s="142">
        <f>'Consolidated Balance Sheet'!B64</f>
        <v>1581347.48</v>
      </c>
      <c r="C33" s="56"/>
      <c r="D33" s="142">
        <f>'Consolidated Balance Sheet'!D64</f>
        <v>0</v>
      </c>
      <c r="E33" s="56"/>
      <c r="F33" s="142">
        <f>'Consolidated Balance Sheet'!F64</f>
        <v>0</v>
      </c>
      <c r="G33" s="56"/>
      <c r="H33" s="142">
        <f>'Consolidated Balance Sheet'!H64</f>
        <v>0</v>
      </c>
      <c r="I33" s="56"/>
      <c r="J33" s="142">
        <f>'Consolidated Balance Sheet'!J64</f>
        <v>0</v>
      </c>
      <c r="K33" s="56"/>
      <c r="L33" s="142">
        <f>'Consolidated Balance Sheet'!L64</f>
        <v>0</v>
      </c>
      <c r="M33" s="56"/>
      <c r="N33" s="142">
        <f>'Consolidated Balance Sheet'!N64</f>
        <v>0</v>
      </c>
      <c r="O33" s="56"/>
      <c r="P33" s="56">
        <f>SUM(B33:N33)</f>
        <v>1581347.48</v>
      </c>
      <c r="Q33" s="54" t="s">
        <v>294</v>
      </c>
      <c r="R33" s="56">
        <f>'Consolidated Balance Sheet'!R64</f>
        <v>0</v>
      </c>
      <c r="S33" s="56"/>
      <c r="T33" s="56">
        <f>'Consolidated Balance Sheet'!T64</f>
        <v>0</v>
      </c>
      <c r="U33" s="56"/>
      <c r="V33" s="56">
        <f>'Consolidated Balance Sheet'!V64</f>
        <v>0</v>
      </c>
      <c r="W33" s="56"/>
      <c r="X33" s="56">
        <f>'Consolidated Balance Sheet'!X64</f>
        <v>0</v>
      </c>
      <c r="Y33" s="56"/>
      <c r="Z33" s="56">
        <f>'Consolidated Balance Sheet'!Z64</f>
        <v>0</v>
      </c>
      <c r="AA33" s="56"/>
      <c r="AB33" s="56">
        <f>'Consolidated Balance Sheet'!AB64</f>
        <v>0</v>
      </c>
      <c r="AC33" s="56"/>
      <c r="AD33" s="56">
        <f>'Consolidated Balance Sheet'!AD64</f>
        <v>0</v>
      </c>
      <c r="AE33" s="56"/>
      <c r="AF33" s="56">
        <f>SUM(R33:AD33)</f>
        <v>0</v>
      </c>
      <c r="AG33" s="54" t="s">
        <v>294</v>
      </c>
      <c r="AH33" s="63">
        <f>P33</f>
        <v>1581347.48</v>
      </c>
      <c r="AI33" s="63"/>
      <c r="AJ33" s="63">
        <f>AF33</f>
        <v>0</v>
      </c>
      <c r="AK33" s="63"/>
      <c r="AL33" s="63">
        <f t="shared" ref="AL33:AL41" si="10">AH33-AJ33</f>
        <v>1581347.48</v>
      </c>
      <c r="AM33" s="63"/>
      <c r="AN33" s="59"/>
      <c r="AO33" s="59"/>
      <c r="AP33" s="60">
        <f t="shared" ref="AP33:AP42" si="11">AN33-1</f>
        <v>-1</v>
      </c>
    </row>
    <row r="34" spans="1:42" s="54" customFormat="1" ht="24.95" customHeight="1" x14ac:dyDescent="0.2">
      <c r="A34" s="54" t="s">
        <v>295</v>
      </c>
      <c r="B34" s="142">
        <f>'Consolidated Balance Sheet'!B65+'Consolidated Balance Sheet'!B66+'Consolidated Balance Sheet'!B67+'Consolidated Balance Sheet'!B68+'Consolidated Balance Sheet'!B69</f>
        <v>4280144.63</v>
      </c>
      <c r="C34" s="56"/>
      <c r="D34" s="142">
        <f>'Consolidated Balance Sheet'!D65+'Consolidated Balance Sheet'!D66+'Consolidated Balance Sheet'!D67+'Consolidated Balance Sheet'!D68+'Consolidated Balance Sheet'!D69</f>
        <v>1701588.8099999998</v>
      </c>
      <c r="E34" s="56"/>
      <c r="F34" s="142">
        <f>'Consolidated Balance Sheet'!F65+'Consolidated Balance Sheet'!F66+'Consolidated Balance Sheet'!F67+'Consolidated Balance Sheet'!F68+'Consolidated Balance Sheet'!F69</f>
        <v>90.330000000000013</v>
      </c>
      <c r="G34" s="56"/>
      <c r="H34" s="142">
        <f>'Consolidated Balance Sheet'!H65+'Consolidated Balance Sheet'!H66+'Consolidated Balance Sheet'!H67+'Consolidated Balance Sheet'!H68+'Consolidated Balance Sheet'!H69</f>
        <v>0</v>
      </c>
      <c r="I34" s="56"/>
      <c r="J34" s="142">
        <f>'Consolidated Balance Sheet'!J65+'Consolidated Balance Sheet'!J66+'Consolidated Balance Sheet'!J67+'Consolidated Balance Sheet'!J68+'Consolidated Balance Sheet'!J69</f>
        <v>5086.8599999999997</v>
      </c>
      <c r="K34" s="56"/>
      <c r="L34" s="142">
        <f>'Consolidated Balance Sheet'!L65+'Consolidated Balance Sheet'!L66+'Consolidated Balance Sheet'!L67+'Consolidated Balance Sheet'!L68+'Consolidated Balance Sheet'!L69</f>
        <v>0</v>
      </c>
      <c r="M34" s="51"/>
      <c r="N34" s="142">
        <f>'Consolidated Balance Sheet'!N65+'Consolidated Balance Sheet'!N66+'Consolidated Balance Sheet'!N67+'Consolidated Balance Sheet'!N68+'Consolidated Balance Sheet'!N69</f>
        <v>0</v>
      </c>
      <c r="O34" s="51"/>
      <c r="P34" s="56">
        <f t="shared" ref="P34:P41" si="12">SUM(B34:N34)</f>
        <v>5986910.6299999999</v>
      </c>
      <c r="Q34" s="54" t="s">
        <v>295</v>
      </c>
      <c r="R34" s="56">
        <f>'Consolidated Balance Sheet'!R65+'Consolidated Balance Sheet'!R66+'Consolidated Balance Sheet'!R67+'Consolidated Balance Sheet'!R68+'Consolidated Balance Sheet'!R69</f>
        <v>9623584.5300000012</v>
      </c>
      <c r="S34" s="56"/>
      <c r="T34" s="56">
        <f>'Consolidated Balance Sheet'!T65+'Consolidated Balance Sheet'!T66+'Consolidated Balance Sheet'!T67+'Consolidated Balance Sheet'!T68+'Consolidated Balance Sheet'!T69</f>
        <v>700868.30999999994</v>
      </c>
      <c r="U34" s="56"/>
      <c r="V34" s="56">
        <f>'Consolidated Balance Sheet'!V65+'Consolidated Balance Sheet'!V66+'Consolidated Balance Sheet'!V67+'Consolidated Balance Sheet'!V68+'Consolidated Balance Sheet'!V69</f>
        <v>-819.45</v>
      </c>
      <c r="W34" s="56"/>
      <c r="X34" s="56">
        <f>'Consolidated Balance Sheet'!X65+'Consolidated Balance Sheet'!X66+'Consolidated Balance Sheet'!X67+'Consolidated Balance Sheet'!X68+'Consolidated Balance Sheet'!X69</f>
        <v>1512.91</v>
      </c>
      <c r="Y34" s="56"/>
      <c r="Z34" s="56">
        <f>'Consolidated Balance Sheet'!Z65+'Consolidated Balance Sheet'!Z66+'Consolidated Balance Sheet'!Z67+'Consolidated Balance Sheet'!Z68+'Consolidated Balance Sheet'!Z69</f>
        <v>23651.01</v>
      </c>
      <c r="AA34" s="56"/>
      <c r="AB34" s="56">
        <f>'Consolidated Balance Sheet'!AB65+'Consolidated Balance Sheet'!AB66+'Consolidated Balance Sheet'!AB67+'Consolidated Balance Sheet'!AB68+'Consolidated Balance Sheet'!AB69</f>
        <v>2717.13</v>
      </c>
      <c r="AC34" s="56"/>
      <c r="AD34" s="56">
        <f>'Consolidated Balance Sheet'!AD65+'Consolidated Balance Sheet'!AD66+'Consolidated Balance Sheet'!AD67+'Consolidated Balance Sheet'!AD68+'Consolidated Balance Sheet'!AD69</f>
        <v>2935.15</v>
      </c>
      <c r="AE34" s="56"/>
      <c r="AF34" s="56">
        <f t="shared" ref="AF34:AF41" si="13">SUM(R34:AD34)</f>
        <v>10354449.590000004</v>
      </c>
      <c r="AG34" s="54" t="s">
        <v>295</v>
      </c>
      <c r="AH34" s="63">
        <f t="shared" ref="AH34:AH41" si="14">P34</f>
        <v>5986910.6299999999</v>
      </c>
      <c r="AI34" s="63"/>
      <c r="AJ34" s="63">
        <f t="shared" ref="AJ34:AJ41" si="15">AF34</f>
        <v>10354449.590000004</v>
      </c>
      <c r="AK34" s="63"/>
      <c r="AL34" s="63">
        <f t="shared" si="10"/>
        <v>-4367538.9600000037</v>
      </c>
      <c r="AM34" s="63"/>
      <c r="AN34" s="59">
        <f t="shared" ref="AN34:AN42" si="16">AH34/AJ34</f>
        <v>0.57819689766822246</v>
      </c>
      <c r="AO34" s="59"/>
      <c r="AP34" s="60">
        <f t="shared" si="11"/>
        <v>-0.42180310233177754</v>
      </c>
    </row>
    <row r="35" spans="1:42" s="54" customFormat="1" ht="24.95" customHeight="1" x14ac:dyDescent="0.2">
      <c r="A35" s="54" t="s">
        <v>396</v>
      </c>
      <c r="B35" s="142">
        <f>'Consolidated Balance Sheet'!B70</f>
        <v>572619.72</v>
      </c>
      <c r="C35" s="56"/>
      <c r="D35" s="142">
        <f>'Consolidated Balance Sheet'!D70</f>
        <v>0</v>
      </c>
      <c r="E35" s="56"/>
      <c r="F35" s="142">
        <f>'Consolidated Balance Sheet'!F70</f>
        <v>0</v>
      </c>
      <c r="G35" s="56"/>
      <c r="H35" s="142">
        <f>'Consolidated Balance Sheet'!H70</f>
        <v>0</v>
      </c>
      <c r="I35" s="56"/>
      <c r="J35" s="142">
        <f>'Consolidated Balance Sheet'!J70</f>
        <v>23117.08</v>
      </c>
      <c r="K35" s="56"/>
      <c r="L35" s="142">
        <f>'Consolidated Balance Sheet'!L70</f>
        <v>0</v>
      </c>
      <c r="M35" s="51"/>
      <c r="N35" s="142">
        <f>'Consolidated Balance Sheet'!N70</f>
        <v>0</v>
      </c>
      <c r="O35" s="51"/>
      <c r="P35" s="56">
        <f t="shared" si="12"/>
        <v>595736.79999999993</v>
      </c>
      <c r="Q35" s="54" t="s">
        <v>396</v>
      </c>
      <c r="R35" s="56">
        <f>'Consolidated Balance Sheet'!R70</f>
        <v>0</v>
      </c>
      <c r="S35" s="56"/>
      <c r="T35" s="56">
        <f>'Consolidated Balance Sheet'!T70</f>
        <v>0</v>
      </c>
      <c r="U35" s="56"/>
      <c r="V35" s="56">
        <f>'Consolidated Balance Sheet'!V70</f>
        <v>0</v>
      </c>
      <c r="W35" s="56"/>
      <c r="X35" s="56">
        <f>'Consolidated Balance Sheet'!X70</f>
        <v>0</v>
      </c>
      <c r="Y35" s="56"/>
      <c r="Z35" s="56">
        <f>'Consolidated Balance Sheet'!Z70</f>
        <v>6349.9</v>
      </c>
      <c r="AA35" s="56"/>
      <c r="AB35" s="56">
        <f>'Consolidated Balance Sheet'!AB70</f>
        <v>0</v>
      </c>
      <c r="AC35" s="56"/>
      <c r="AD35" s="56">
        <f>'Consolidated Balance Sheet'!AD70</f>
        <v>0</v>
      </c>
      <c r="AE35" s="56"/>
      <c r="AF35" s="56">
        <f t="shared" si="13"/>
        <v>6349.9</v>
      </c>
      <c r="AG35" s="54" t="s">
        <v>396</v>
      </c>
      <c r="AH35" s="63">
        <f t="shared" si="14"/>
        <v>595736.79999999993</v>
      </c>
      <c r="AI35" s="63"/>
      <c r="AJ35" s="63">
        <f t="shared" si="15"/>
        <v>6349.9</v>
      </c>
      <c r="AK35" s="63"/>
      <c r="AL35" s="63">
        <f t="shared" si="10"/>
        <v>589386.89999999991</v>
      </c>
      <c r="AM35" s="63"/>
      <c r="AN35" s="59">
        <f t="shared" si="16"/>
        <v>93.818296351123635</v>
      </c>
      <c r="AO35" s="59"/>
      <c r="AP35" s="60">
        <f t="shared" si="11"/>
        <v>92.818296351123635</v>
      </c>
    </row>
    <row r="36" spans="1:42" s="54" customFormat="1" ht="24.95" customHeight="1" x14ac:dyDescent="0.2">
      <c r="A36" s="54" t="s">
        <v>300</v>
      </c>
      <c r="B36" s="142">
        <f>'Consolidated Balance Sheet'!B71+'Consolidated Balance Sheet'!B91</f>
        <v>9623928.1600000001</v>
      </c>
      <c r="C36" s="56"/>
      <c r="D36" s="142">
        <f>'Consolidated Balance Sheet'!D71</f>
        <v>0</v>
      </c>
      <c r="E36" s="56"/>
      <c r="F36" s="142">
        <f>'Consolidated Balance Sheet'!F71</f>
        <v>166426.34</v>
      </c>
      <c r="G36" s="56"/>
      <c r="H36" s="142">
        <f>'Consolidated Balance Sheet'!H71</f>
        <v>7969.41</v>
      </c>
      <c r="I36" s="56"/>
      <c r="J36" s="142">
        <f>'Consolidated Balance Sheet'!J71</f>
        <v>0</v>
      </c>
      <c r="K36" s="56"/>
      <c r="L36" s="142">
        <f>'Consolidated Balance Sheet'!L71</f>
        <v>0</v>
      </c>
      <c r="M36" s="51"/>
      <c r="N36" s="142">
        <f>'Consolidated Balance Sheet'!N71</f>
        <v>0</v>
      </c>
      <c r="O36" s="51"/>
      <c r="P36" s="56">
        <f t="shared" si="12"/>
        <v>9798323.9100000001</v>
      </c>
      <c r="Q36" s="54" t="s">
        <v>300</v>
      </c>
      <c r="R36" s="56">
        <f>'Consolidated Balance Sheet'!R71</f>
        <v>870165.09</v>
      </c>
      <c r="S36" s="56"/>
      <c r="T36" s="56">
        <f>'Consolidated Balance Sheet'!T71</f>
        <v>0</v>
      </c>
      <c r="U36" s="56"/>
      <c r="V36" s="56">
        <f>'Consolidated Balance Sheet'!V71</f>
        <v>80</v>
      </c>
      <c r="W36" s="56"/>
      <c r="X36" s="56">
        <f>'Consolidated Balance Sheet'!X71</f>
        <v>7472.03</v>
      </c>
      <c r="Y36" s="56"/>
      <c r="Z36" s="56">
        <f>'Consolidated Balance Sheet'!Z71</f>
        <v>4136.75</v>
      </c>
      <c r="AA36" s="56"/>
      <c r="AB36" s="56">
        <f>'Consolidated Balance Sheet'!AB71</f>
        <v>0</v>
      </c>
      <c r="AC36" s="56"/>
      <c r="AD36" s="56">
        <f>'Consolidated Balance Sheet'!AD71</f>
        <v>0</v>
      </c>
      <c r="AE36" s="56"/>
      <c r="AF36" s="56">
        <f t="shared" si="13"/>
        <v>881853.87</v>
      </c>
      <c r="AG36" s="54" t="s">
        <v>300</v>
      </c>
      <c r="AH36" s="63">
        <f t="shared" si="14"/>
        <v>9798323.9100000001</v>
      </c>
      <c r="AI36" s="63"/>
      <c r="AJ36" s="63">
        <f t="shared" si="15"/>
        <v>881853.87</v>
      </c>
      <c r="AK36" s="63"/>
      <c r="AL36" s="63">
        <f t="shared" si="10"/>
        <v>8916470.040000001</v>
      </c>
      <c r="AM36" s="63"/>
      <c r="AN36" s="59">
        <f t="shared" si="16"/>
        <v>11.111051664376095</v>
      </c>
      <c r="AO36" s="59"/>
      <c r="AP36" s="60">
        <f t="shared" si="11"/>
        <v>10.111051664376095</v>
      </c>
    </row>
    <row r="37" spans="1:42" s="54" customFormat="1" ht="24.95" customHeight="1" x14ac:dyDescent="0.2">
      <c r="A37" s="54" t="s">
        <v>483</v>
      </c>
      <c r="B37" s="142">
        <f>'Consolidated Balance Sheet'!B72+'Consolidated Balance Sheet'!B73+'Consolidated Balance Sheet'!B74+'Consolidated Balance Sheet'!B75+'Consolidated Balance Sheet'!B76+'Consolidated Balance Sheet'!B77+'Consolidated Balance Sheet'!B78+'Consolidated Balance Sheet'!B79+'Consolidated Balance Sheet'!B80+'Consolidated Balance Sheet'!B81+'Consolidated Balance Sheet'!B82+'Consolidated Balance Sheet'!B83+'Consolidated Balance Sheet'!B84+'Consolidated Balance Sheet'!B86+'Consolidated Balance Sheet'!B93+'Consolidated Balance Sheet'!B85+'Consolidated Balance Sheet'!B92</f>
        <v>500302.20999999996</v>
      </c>
      <c r="C37" s="56"/>
      <c r="D37" s="142">
        <f>'Consolidated Balance Sheet'!D72+'Consolidated Balance Sheet'!D73+'Consolidated Balance Sheet'!D74+'Consolidated Balance Sheet'!D75+'Consolidated Balance Sheet'!D76+'Consolidated Balance Sheet'!D77+'Consolidated Balance Sheet'!D78+'Consolidated Balance Sheet'!D79+'Consolidated Balance Sheet'!D80+'Consolidated Balance Sheet'!D81+'Consolidated Balance Sheet'!D82+'Consolidated Balance Sheet'!D83+'Consolidated Balance Sheet'!D84+'Consolidated Balance Sheet'!D86+'Consolidated Balance Sheet'!D93+'Consolidated Balance Sheet'!D85</f>
        <v>140858.82999999999</v>
      </c>
      <c r="E37" s="56"/>
      <c r="F37" s="142">
        <f>'Consolidated Balance Sheet'!F72+'Consolidated Balance Sheet'!F73+'Consolidated Balance Sheet'!F74+'Consolidated Balance Sheet'!F75+'Consolidated Balance Sheet'!F76+'Consolidated Balance Sheet'!F77+'Consolidated Balance Sheet'!F78+'Consolidated Balance Sheet'!F79+'Consolidated Balance Sheet'!F80+'Consolidated Balance Sheet'!F81+'Consolidated Balance Sheet'!F82+'Consolidated Balance Sheet'!F83+'Consolidated Balance Sheet'!F84+'Consolidated Balance Sheet'!F86+'Consolidated Balance Sheet'!F93+'Consolidated Balance Sheet'!F85</f>
        <v>48850.18</v>
      </c>
      <c r="G37" s="56"/>
      <c r="H37" s="142">
        <f>'Consolidated Balance Sheet'!H72+'Consolidated Balance Sheet'!H73+'Consolidated Balance Sheet'!H74+'Consolidated Balance Sheet'!H75+'Consolidated Balance Sheet'!H76+'Consolidated Balance Sheet'!H77+'Consolidated Balance Sheet'!H78+'Consolidated Balance Sheet'!H79+'Consolidated Balance Sheet'!H80+'Consolidated Balance Sheet'!H81+'Consolidated Balance Sheet'!H82+'Consolidated Balance Sheet'!H83+'Consolidated Balance Sheet'!H84+'Consolidated Balance Sheet'!H86+'Consolidated Balance Sheet'!H93+'Consolidated Balance Sheet'!H85</f>
        <v>0</v>
      </c>
      <c r="I37" s="56"/>
      <c r="J37" s="142">
        <f>'Consolidated Balance Sheet'!J72+'Consolidated Balance Sheet'!J73+'Consolidated Balance Sheet'!J74+'Consolidated Balance Sheet'!J75+'Consolidated Balance Sheet'!J76+'Consolidated Balance Sheet'!J77+'Consolidated Balance Sheet'!J78+'Consolidated Balance Sheet'!J79+'Consolidated Balance Sheet'!J80+'Consolidated Balance Sheet'!J81+'Consolidated Balance Sheet'!J82+'Consolidated Balance Sheet'!J83+'Consolidated Balance Sheet'!J84+'Consolidated Balance Sheet'!J86+'Consolidated Balance Sheet'!J93+'Consolidated Balance Sheet'!J85</f>
        <v>11098.689999999999</v>
      </c>
      <c r="K37" s="56"/>
      <c r="L37" s="142">
        <f>'Consolidated Balance Sheet'!L72+'Consolidated Balance Sheet'!L73+'Consolidated Balance Sheet'!L74+'Consolidated Balance Sheet'!L75+'Consolidated Balance Sheet'!L76+'Consolidated Balance Sheet'!L77+'Consolidated Balance Sheet'!L78+'Consolidated Balance Sheet'!L79+'Consolidated Balance Sheet'!L80+'Consolidated Balance Sheet'!L81+'Consolidated Balance Sheet'!L82+'Consolidated Balance Sheet'!L83+'Consolidated Balance Sheet'!L84+'Consolidated Balance Sheet'!L86+'Consolidated Balance Sheet'!L93+'Consolidated Balance Sheet'!L85</f>
        <v>1240</v>
      </c>
      <c r="M37" s="51"/>
      <c r="N37" s="142">
        <f>'Consolidated Balance Sheet'!N72+'Consolidated Balance Sheet'!N73+'Consolidated Balance Sheet'!N74+'Consolidated Balance Sheet'!N75+'Consolidated Balance Sheet'!N76+'Consolidated Balance Sheet'!N77+'Consolidated Balance Sheet'!N78+'Consolidated Balance Sheet'!N79+'Consolidated Balance Sheet'!N80+'Consolidated Balance Sheet'!N81+'Consolidated Balance Sheet'!N82+'Consolidated Balance Sheet'!N83+'Consolidated Balance Sheet'!N84+'Consolidated Balance Sheet'!N86+'Consolidated Balance Sheet'!N93+'Consolidated Balance Sheet'!N85</f>
        <v>0</v>
      </c>
      <c r="O37" s="51"/>
      <c r="P37" s="56">
        <f t="shared" si="12"/>
        <v>702349.90999999992</v>
      </c>
      <c r="Q37" s="54" t="s">
        <v>483</v>
      </c>
      <c r="R37" s="56">
        <f>'Consolidated Balance Sheet'!R93+'Consolidated Balance Sheet'!R91+'Consolidated Balance Sheet'!R86+'Consolidated Balance Sheet'!R85+'Consolidated Balance Sheet'!R84+'Consolidated Balance Sheet'!R83+'Consolidated Balance Sheet'!R82+'Consolidated Balance Sheet'!R81+'Consolidated Balance Sheet'!R80+'Consolidated Balance Sheet'!R79+'Consolidated Balance Sheet'!R78+'Consolidated Balance Sheet'!R77+'Consolidated Balance Sheet'!R76+'Consolidated Balance Sheet'!R75+'Consolidated Balance Sheet'!R74+'Consolidated Balance Sheet'!R73+'Consolidated Balance Sheet'!R72</f>
        <v>345374.01</v>
      </c>
      <c r="S37" s="56"/>
      <c r="T37" s="56">
        <f>'Consolidated Balance Sheet'!T93+'Consolidated Balance Sheet'!T91+'Consolidated Balance Sheet'!T86+'Consolidated Balance Sheet'!T85+'Consolidated Balance Sheet'!T84+'Consolidated Balance Sheet'!T83+'Consolidated Balance Sheet'!T82+'Consolidated Balance Sheet'!T81+'Consolidated Balance Sheet'!T80+'Consolidated Balance Sheet'!T79+'Consolidated Balance Sheet'!T78+'Consolidated Balance Sheet'!T77+'Consolidated Balance Sheet'!T76+'Consolidated Balance Sheet'!T75+'Consolidated Balance Sheet'!T74+'Consolidated Balance Sheet'!T73+'Consolidated Balance Sheet'!T72</f>
        <v>45247.51</v>
      </c>
      <c r="U37" s="56"/>
      <c r="V37" s="56">
        <f>'Consolidated Balance Sheet'!V93+'Consolidated Balance Sheet'!V91+'Consolidated Balance Sheet'!V86+'Consolidated Balance Sheet'!V85+'Consolidated Balance Sheet'!V84+'Consolidated Balance Sheet'!V83+'Consolidated Balance Sheet'!V82+'Consolidated Balance Sheet'!V81+'Consolidated Balance Sheet'!V80+'Consolidated Balance Sheet'!V79+'Consolidated Balance Sheet'!V78+'Consolidated Balance Sheet'!V77+'Consolidated Balance Sheet'!V76+'Consolidated Balance Sheet'!V75+'Consolidated Balance Sheet'!V74+'Consolidated Balance Sheet'!V73+'Consolidated Balance Sheet'!V72</f>
        <v>22619.29</v>
      </c>
      <c r="W37" s="56"/>
      <c r="X37" s="56">
        <f>'Consolidated Balance Sheet'!X93+'Consolidated Balance Sheet'!X91+'Consolidated Balance Sheet'!X86+'Consolidated Balance Sheet'!X85+'Consolidated Balance Sheet'!X84+'Consolidated Balance Sheet'!X83+'Consolidated Balance Sheet'!X82+'Consolidated Balance Sheet'!X81+'Consolidated Balance Sheet'!X80+'Consolidated Balance Sheet'!X79+'Consolidated Balance Sheet'!X78+'Consolidated Balance Sheet'!X77+'Consolidated Balance Sheet'!X76+'Consolidated Balance Sheet'!X75+'Consolidated Balance Sheet'!X74+'Consolidated Balance Sheet'!X73+'Consolidated Balance Sheet'!X72</f>
        <v>0</v>
      </c>
      <c r="Y37" s="56"/>
      <c r="Z37" s="56">
        <f>'Consolidated Balance Sheet'!Z93+'Consolidated Balance Sheet'!Z91+'Consolidated Balance Sheet'!Z86+'Consolidated Balance Sheet'!Z85+'Consolidated Balance Sheet'!Z84+'Consolidated Balance Sheet'!Z83+'Consolidated Balance Sheet'!Z82+'Consolidated Balance Sheet'!Z81+'Consolidated Balance Sheet'!Z80+'Consolidated Balance Sheet'!Z79+'Consolidated Balance Sheet'!Z78+'Consolidated Balance Sheet'!Z77+'Consolidated Balance Sheet'!Z76+'Consolidated Balance Sheet'!Z75+'Consolidated Balance Sheet'!Z74+'Consolidated Balance Sheet'!Z73+'Consolidated Balance Sheet'!Z72</f>
        <v>6348.24</v>
      </c>
      <c r="AA37" s="56"/>
      <c r="AB37" s="56">
        <f>'Consolidated Balance Sheet'!AB93+'Consolidated Balance Sheet'!AB91+'Consolidated Balance Sheet'!AB86+'Consolidated Balance Sheet'!AB85+'Consolidated Balance Sheet'!AB84+'Consolidated Balance Sheet'!AB83+'Consolidated Balance Sheet'!AB82+'Consolidated Balance Sheet'!AB81+'Consolidated Balance Sheet'!AB80+'Consolidated Balance Sheet'!AB79+'Consolidated Balance Sheet'!AB78+'Consolidated Balance Sheet'!AB77+'Consolidated Balance Sheet'!AB76+'Consolidated Balance Sheet'!AB75+'Consolidated Balance Sheet'!AB74+'Consolidated Balance Sheet'!AB73+'Consolidated Balance Sheet'!AB72</f>
        <v>0</v>
      </c>
      <c r="AC37" s="56"/>
      <c r="AD37" s="56">
        <f>'Consolidated Balance Sheet'!AD93+'Consolidated Balance Sheet'!AD91+'Consolidated Balance Sheet'!AD86+'Consolidated Balance Sheet'!AD85+'Consolidated Balance Sheet'!AD84+'Consolidated Balance Sheet'!AD83+'Consolidated Balance Sheet'!AD82+'Consolidated Balance Sheet'!AD81+'Consolidated Balance Sheet'!AD80+'Consolidated Balance Sheet'!AD79+'Consolidated Balance Sheet'!AD78+'Consolidated Balance Sheet'!AD77+'Consolidated Balance Sheet'!AD76+'Consolidated Balance Sheet'!AD75+'Consolidated Balance Sheet'!AD74+'Consolidated Balance Sheet'!AD73+'Consolidated Balance Sheet'!AD72</f>
        <v>0</v>
      </c>
      <c r="AE37" s="56"/>
      <c r="AF37" s="56">
        <f t="shared" si="13"/>
        <v>419589.05</v>
      </c>
      <c r="AG37" s="54" t="s">
        <v>483</v>
      </c>
      <c r="AH37" s="63">
        <f t="shared" si="14"/>
        <v>702349.90999999992</v>
      </c>
      <c r="AI37" s="63"/>
      <c r="AJ37" s="63">
        <f t="shared" si="15"/>
        <v>419589.05</v>
      </c>
      <c r="AK37" s="63"/>
      <c r="AL37" s="63">
        <f t="shared" si="10"/>
        <v>282760.85999999993</v>
      </c>
      <c r="AM37" s="63"/>
      <c r="AN37" s="59">
        <f t="shared" si="16"/>
        <v>1.6738995214484267</v>
      </c>
      <c r="AO37" s="59"/>
      <c r="AP37" s="60">
        <f t="shared" si="11"/>
        <v>0.67389952144842669</v>
      </c>
    </row>
    <row r="38" spans="1:42" s="54" customFormat="1" ht="24.95" customHeight="1" x14ac:dyDescent="0.2">
      <c r="A38" s="54" t="s">
        <v>311</v>
      </c>
      <c r="B38" s="142">
        <f>'Consolidated Balance Sheet'!B87</f>
        <v>607985.46</v>
      </c>
      <c r="C38" s="56"/>
      <c r="D38" s="142">
        <f>'Consolidated Balance Sheet'!D87</f>
        <v>0</v>
      </c>
      <c r="E38" s="56"/>
      <c r="F38" s="142">
        <f>'Consolidated Balance Sheet'!F87</f>
        <v>0</v>
      </c>
      <c r="G38" s="56"/>
      <c r="H38" s="142">
        <f>'Consolidated Balance Sheet'!H87</f>
        <v>0</v>
      </c>
      <c r="I38" s="56"/>
      <c r="J38" s="142">
        <f>'Consolidated Balance Sheet'!J87</f>
        <v>0</v>
      </c>
      <c r="K38" s="56"/>
      <c r="L38" s="142">
        <f>'Consolidated Balance Sheet'!L87</f>
        <v>0</v>
      </c>
      <c r="M38" s="51"/>
      <c r="N38" s="142">
        <f>'Consolidated Balance Sheet'!N87</f>
        <v>0</v>
      </c>
      <c r="O38" s="51"/>
      <c r="P38" s="56">
        <f t="shared" si="12"/>
        <v>607985.46</v>
      </c>
      <c r="Q38" s="54" t="s">
        <v>311</v>
      </c>
      <c r="R38" s="56">
        <f>'Consolidated Balance Sheet'!R87</f>
        <v>607985.46</v>
      </c>
      <c r="S38" s="56"/>
      <c r="T38" s="56">
        <f>'Consolidated Balance Sheet'!T87</f>
        <v>0</v>
      </c>
      <c r="U38" s="56"/>
      <c r="V38" s="56">
        <f>'Consolidated Balance Sheet'!V87</f>
        <v>0</v>
      </c>
      <c r="W38" s="56"/>
      <c r="X38" s="56">
        <f>'Consolidated Balance Sheet'!X87</f>
        <v>0</v>
      </c>
      <c r="Y38" s="56"/>
      <c r="Z38" s="56">
        <f>'Consolidated Balance Sheet'!Z87</f>
        <v>0</v>
      </c>
      <c r="AA38" s="56"/>
      <c r="AB38" s="56">
        <f>'Consolidated Balance Sheet'!AB87</f>
        <v>0</v>
      </c>
      <c r="AC38" s="56"/>
      <c r="AD38" s="56">
        <f>'Consolidated Balance Sheet'!AD87</f>
        <v>0</v>
      </c>
      <c r="AE38" s="56"/>
      <c r="AF38" s="56">
        <f t="shared" si="13"/>
        <v>607985.46</v>
      </c>
      <c r="AG38" s="54" t="s">
        <v>311</v>
      </c>
      <c r="AH38" s="63">
        <f t="shared" si="14"/>
        <v>607985.46</v>
      </c>
      <c r="AI38" s="63"/>
      <c r="AJ38" s="63">
        <f t="shared" si="15"/>
        <v>607985.46</v>
      </c>
      <c r="AK38" s="63"/>
      <c r="AL38" s="63">
        <f t="shared" si="10"/>
        <v>0</v>
      </c>
      <c r="AM38" s="63"/>
      <c r="AN38" s="59">
        <f t="shared" si="16"/>
        <v>1</v>
      </c>
      <c r="AO38" s="59"/>
      <c r="AP38" s="60">
        <f t="shared" si="11"/>
        <v>0</v>
      </c>
    </row>
    <row r="39" spans="1:42" s="54" customFormat="1" ht="24.95" customHeight="1" x14ac:dyDescent="0.2">
      <c r="A39" s="54" t="s">
        <v>395</v>
      </c>
      <c r="B39" s="142">
        <f>'Consolidated Balance Sheet'!B88</f>
        <v>0</v>
      </c>
      <c r="C39" s="56"/>
      <c r="D39" s="142">
        <f>'Consolidated Balance Sheet'!D88</f>
        <v>0</v>
      </c>
      <c r="E39" s="56"/>
      <c r="F39" s="142">
        <f>'Consolidated Balance Sheet'!F88</f>
        <v>0</v>
      </c>
      <c r="G39" s="56"/>
      <c r="H39" s="142">
        <f>'Consolidated Balance Sheet'!H88</f>
        <v>0</v>
      </c>
      <c r="I39" s="56"/>
      <c r="J39" s="142">
        <f>'Consolidated Balance Sheet'!J88</f>
        <v>914648.06</v>
      </c>
      <c r="K39" s="56"/>
      <c r="L39" s="142">
        <f>'Consolidated Balance Sheet'!L88</f>
        <v>90397.65</v>
      </c>
      <c r="M39" s="51"/>
      <c r="N39" s="142">
        <f>'Consolidated Balance Sheet'!N88</f>
        <v>0</v>
      </c>
      <c r="O39" s="51"/>
      <c r="P39" s="56">
        <f t="shared" si="12"/>
        <v>1005045.7100000001</v>
      </c>
      <c r="Q39" s="54" t="s">
        <v>395</v>
      </c>
      <c r="R39" s="56">
        <f>'Consolidated Balance Sheet'!R88</f>
        <v>0</v>
      </c>
      <c r="S39" s="56"/>
      <c r="T39" s="56">
        <f>'Consolidated Balance Sheet'!T88</f>
        <v>0</v>
      </c>
      <c r="U39" s="56"/>
      <c r="V39" s="56">
        <f>'Consolidated Balance Sheet'!V88</f>
        <v>0</v>
      </c>
      <c r="W39" s="56"/>
      <c r="X39" s="56">
        <f>'Consolidated Balance Sheet'!X88</f>
        <v>0</v>
      </c>
      <c r="Y39" s="56"/>
      <c r="Z39" s="56">
        <f>'Consolidated Balance Sheet'!Z88</f>
        <v>841943.54</v>
      </c>
      <c r="AA39" s="56"/>
      <c r="AB39" s="56">
        <f>'Consolidated Balance Sheet'!AB88</f>
        <v>73179.05</v>
      </c>
      <c r="AC39" s="56"/>
      <c r="AD39" s="56">
        <f>'Consolidated Balance Sheet'!AD88</f>
        <v>0</v>
      </c>
      <c r="AE39" s="56"/>
      <c r="AF39" s="56">
        <f t="shared" si="13"/>
        <v>915122.59000000008</v>
      </c>
      <c r="AG39" s="54" t="s">
        <v>395</v>
      </c>
      <c r="AH39" s="63">
        <f>P39</f>
        <v>1005045.7100000001</v>
      </c>
      <c r="AI39" s="63"/>
      <c r="AJ39" s="63">
        <f t="shared" si="15"/>
        <v>915122.59000000008</v>
      </c>
      <c r="AK39" s="63"/>
      <c r="AL39" s="63">
        <f t="shared" si="10"/>
        <v>89923.12</v>
      </c>
      <c r="AM39" s="63"/>
      <c r="AN39" s="59">
        <f t="shared" si="16"/>
        <v>1.0982634687228079</v>
      </c>
      <c r="AO39" s="59"/>
      <c r="AP39" s="60">
        <f t="shared" si="11"/>
        <v>9.826346872280789E-2</v>
      </c>
    </row>
    <row r="40" spans="1:42" s="54" customFormat="1" ht="24.95" customHeight="1" x14ac:dyDescent="0.2">
      <c r="A40" s="54" t="s">
        <v>312</v>
      </c>
      <c r="B40" s="142">
        <f>'Consolidated Balance Sheet'!B89</f>
        <v>5700000</v>
      </c>
      <c r="C40" s="56"/>
      <c r="D40" s="142">
        <f>'Consolidated Balance Sheet'!D89</f>
        <v>0</v>
      </c>
      <c r="E40" s="56"/>
      <c r="F40" s="142">
        <f>'Consolidated Balance Sheet'!F89</f>
        <v>0</v>
      </c>
      <c r="G40" s="56"/>
      <c r="H40" s="142">
        <f>'Consolidated Balance Sheet'!H89</f>
        <v>0</v>
      </c>
      <c r="I40" s="56"/>
      <c r="J40" s="142">
        <f>'Consolidated Balance Sheet'!J89</f>
        <v>0</v>
      </c>
      <c r="K40" s="56"/>
      <c r="L40" s="142">
        <f>'Consolidated Balance Sheet'!L89</f>
        <v>0</v>
      </c>
      <c r="M40" s="51"/>
      <c r="N40" s="142">
        <f>'Consolidated Balance Sheet'!N89</f>
        <v>250000</v>
      </c>
      <c r="O40" s="51"/>
      <c r="P40" s="56">
        <f t="shared" si="12"/>
        <v>5950000</v>
      </c>
      <c r="Q40" s="54" t="s">
        <v>312</v>
      </c>
      <c r="R40" s="56">
        <f>'Consolidated Balance Sheet'!R89</f>
        <v>2465412.2599999998</v>
      </c>
      <c r="S40" s="56"/>
      <c r="T40" s="56">
        <f>'Consolidated Balance Sheet'!T89</f>
        <v>0</v>
      </c>
      <c r="U40" s="56"/>
      <c r="V40" s="56">
        <f>'Consolidated Balance Sheet'!V89</f>
        <v>0</v>
      </c>
      <c r="W40" s="56"/>
      <c r="X40" s="56">
        <f>'Consolidated Balance Sheet'!X89</f>
        <v>0</v>
      </c>
      <c r="Y40" s="56"/>
      <c r="Z40" s="56">
        <f>'Consolidated Balance Sheet'!Z89</f>
        <v>0</v>
      </c>
      <c r="AA40" s="56"/>
      <c r="AB40" s="56">
        <f>'Consolidated Balance Sheet'!AB89</f>
        <v>0</v>
      </c>
      <c r="AC40" s="56"/>
      <c r="AD40" s="56">
        <f>'Consolidated Balance Sheet'!AD89</f>
        <v>0</v>
      </c>
      <c r="AE40" s="56"/>
      <c r="AF40" s="56">
        <f t="shared" si="13"/>
        <v>2465412.2599999998</v>
      </c>
      <c r="AG40" s="54" t="s">
        <v>312</v>
      </c>
      <c r="AH40" s="63">
        <f t="shared" si="14"/>
        <v>5950000</v>
      </c>
      <c r="AI40" s="63"/>
      <c r="AJ40" s="63">
        <f t="shared" si="15"/>
        <v>2465412.2599999998</v>
      </c>
      <c r="AK40" s="63"/>
      <c r="AL40" s="63">
        <f t="shared" si="10"/>
        <v>3484587.74</v>
      </c>
      <c r="AM40" s="63"/>
      <c r="AN40" s="59">
        <f t="shared" si="16"/>
        <v>2.4133894750730249</v>
      </c>
      <c r="AO40" s="59"/>
      <c r="AP40" s="60">
        <f t="shared" si="11"/>
        <v>1.4133894750730249</v>
      </c>
    </row>
    <row r="41" spans="1:42" s="54" customFormat="1" ht="24.95" customHeight="1" x14ac:dyDescent="0.2">
      <c r="A41" s="54" t="s">
        <v>313</v>
      </c>
      <c r="B41" s="144">
        <f>'Consolidated Balance Sheet'!B90</f>
        <v>40900</v>
      </c>
      <c r="C41" s="66"/>
      <c r="D41" s="144">
        <f>'Consolidated Balance Sheet'!D90</f>
        <v>407525.02</v>
      </c>
      <c r="E41" s="66"/>
      <c r="F41" s="144">
        <f>'Consolidated Balance Sheet'!F90</f>
        <v>126046.16</v>
      </c>
      <c r="G41" s="66"/>
      <c r="H41" s="144">
        <f>'Consolidated Balance Sheet'!H90</f>
        <v>299086.48000000004</v>
      </c>
      <c r="I41" s="66"/>
      <c r="J41" s="144">
        <f>'Consolidated Balance Sheet'!J90</f>
        <v>1260474.6500000001</v>
      </c>
      <c r="K41" s="66"/>
      <c r="L41" s="144">
        <f>'Consolidated Balance Sheet'!L90</f>
        <v>0</v>
      </c>
      <c r="M41" s="67"/>
      <c r="N41" s="144">
        <f>'Consolidated Balance Sheet'!N90</f>
        <v>19565.100000000035</v>
      </c>
      <c r="O41" s="67"/>
      <c r="P41" s="66">
        <f t="shared" si="12"/>
        <v>2153597.4100000006</v>
      </c>
      <c r="Q41" s="54" t="s">
        <v>313</v>
      </c>
      <c r="R41" s="66">
        <f>'Consolidated Balance Sheet'!R90</f>
        <v>0</v>
      </c>
      <c r="S41" s="66"/>
      <c r="T41" s="66">
        <f>'Consolidated Balance Sheet'!T90</f>
        <v>33950.449999999997</v>
      </c>
      <c r="U41" s="66"/>
      <c r="V41" s="66">
        <f>'Consolidated Balance Sheet'!V90</f>
        <v>0</v>
      </c>
      <c r="W41" s="66"/>
      <c r="X41" s="66">
        <f>'Consolidated Balance Sheet'!X90</f>
        <v>1544393.7</v>
      </c>
      <c r="Y41" s="66"/>
      <c r="Z41" s="66">
        <f>'Consolidated Balance Sheet'!Z90</f>
        <v>0</v>
      </c>
      <c r="AA41" s="66"/>
      <c r="AB41" s="66">
        <f>'Consolidated Balance Sheet'!AB90</f>
        <v>0</v>
      </c>
      <c r="AC41" s="66"/>
      <c r="AD41" s="66">
        <f>'Consolidated Balance Sheet'!AD90</f>
        <v>-77051.25</v>
      </c>
      <c r="AE41" s="66"/>
      <c r="AF41" s="66">
        <f t="shared" si="13"/>
        <v>1501292.9</v>
      </c>
      <c r="AG41" s="54" t="s">
        <v>313</v>
      </c>
      <c r="AH41" s="66">
        <f t="shared" si="14"/>
        <v>2153597.4100000006</v>
      </c>
      <c r="AI41" s="66"/>
      <c r="AJ41" s="66">
        <f t="shared" si="15"/>
        <v>1501292.9</v>
      </c>
      <c r="AK41" s="66"/>
      <c r="AL41" s="66">
        <f t="shared" si="10"/>
        <v>652304.51000000071</v>
      </c>
      <c r="AM41" s="63"/>
      <c r="AN41" s="59">
        <f t="shared" si="16"/>
        <v>1.4344951674653232</v>
      </c>
      <c r="AO41" s="59"/>
      <c r="AP41" s="60">
        <f t="shared" si="11"/>
        <v>0.43449516746532324</v>
      </c>
    </row>
    <row r="42" spans="1:42" s="54" customFormat="1" ht="24.95" customHeight="1" x14ac:dyDescent="0.2">
      <c r="A42" s="73" t="s">
        <v>316</v>
      </c>
      <c r="B42" s="143">
        <f>SUM(B33:B41)</f>
        <v>22907227.66</v>
      </c>
      <c r="C42" s="61"/>
      <c r="D42" s="143">
        <f>SUM(D33:D41)</f>
        <v>2249972.66</v>
      </c>
      <c r="E42" s="61"/>
      <c r="F42" s="143">
        <f>SUM(F33:F41)</f>
        <v>341413.01</v>
      </c>
      <c r="G42" s="61"/>
      <c r="H42" s="143">
        <f>SUM(H33:H41)</f>
        <v>307055.89</v>
      </c>
      <c r="I42" s="61"/>
      <c r="J42" s="143">
        <f>SUM(J33:J41)</f>
        <v>2214425.3400000003</v>
      </c>
      <c r="K42" s="61"/>
      <c r="L42" s="143">
        <f>SUM(L33:L41)</f>
        <v>91637.65</v>
      </c>
      <c r="M42" s="61"/>
      <c r="N42" s="143">
        <f>SUM(N33:N41)</f>
        <v>269565.10000000003</v>
      </c>
      <c r="O42" s="61"/>
      <c r="P42" s="61">
        <f>SUM(P33:P41)</f>
        <v>28381297.310000002</v>
      </c>
      <c r="Q42" s="75" t="s">
        <v>316</v>
      </c>
      <c r="R42" s="61">
        <f>SUM(R33:R41)</f>
        <v>13912521.35</v>
      </c>
      <c r="S42" s="61"/>
      <c r="T42" s="61">
        <f t="shared" ref="T42:AB42" si="17">SUM(T33:T41)</f>
        <v>780066.2699999999</v>
      </c>
      <c r="U42" s="61"/>
      <c r="V42" s="61">
        <f t="shared" si="17"/>
        <v>21879.84</v>
      </c>
      <c r="W42" s="61"/>
      <c r="X42" s="61">
        <f t="shared" si="17"/>
        <v>1553378.64</v>
      </c>
      <c r="Y42" s="61"/>
      <c r="Z42" s="61">
        <f t="shared" si="17"/>
        <v>882429.44000000006</v>
      </c>
      <c r="AA42" s="61"/>
      <c r="AB42" s="61">
        <f t="shared" si="17"/>
        <v>75896.180000000008</v>
      </c>
      <c r="AC42" s="61"/>
      <c r="AD42" s="61">
        <f>SUM(AD33:AD41)</f>
        <v>-74116.100000000006</v>
      </c>
      <c r="AE42" s="61"/>
      <c r="AF42" s="61">
        <f>SUM(AF33:AF41)</f>
        <v>17152055.620000005</v>
      </c>
      <c r="AG42" s="73" t="s">
        <v>316</v>
      </c>
      <c r="AH42" s="61">
        <f>SUM(AH33:AH41)</f>
        <v>28381297.310000002</v>
      </c>
      <c r="AI42" s="61"/>
      <c r="AJ42" s="61">
        <f>SUM(AJ33:AJ41)</f>
        <v>17152055.620000005</v>
      </c>
      <c r="AK42" s="61"/>
      <c r="AL42" s="61">
        <f>SUM(AL33:AL41)</f>
        <v>11229241.689999998</v>
      </c>
      <c r="AM42" s="77"/>
      <c r="AN42" s="59">
        <f t="shared" si="16"/>
        <v>1.6546878076180116</v>
      </c>
      <c r="AO42" s="59"/>
      <c r="AP42" s="60">
        <f t="shared" si="11"/>
        <v>0.6546878076180116</v>
      </c>
    </row>
    <row r="43" spans="1:42" s="54" customFormat="1" ht="24.95" customHeight="1" x14ac:dyDescent="0.2">
      <c r="B43" s="143"/>
      <c r="C43" s="61"/>
      <c r="D43" s="143"/>
      <c r="E43" s="61"/>
      <c r="F43" s="143"/>
      <c r="G43" s="61"/>
      <c r="H43" s="143"/>
      <c r="I43" s="61"/>
      <c r="J43" s="143"/>
      <c r="K43" s="61"/>
      <c r="L43" s="143"/>
      <c r="M43" s="61"/>
      <c r="N43" s="143"/>
      <c r="O43" s="61"/>
      <c r="P43" s="61"/>
      <c r="Q43" s="5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>
        <f>'Consolidated Balance Sheet'!AF94-AF42</f>
        <v>0</v>
      </c>
      <c r="AN43" s="59"/>
      <c r="AO43" s="59"/>
      <c r="AP43" s="72"/>
    </row>
    <row r="44" spans="1:42" s="54" customFormat="1" ht="24.95" customHeight="1" x14ac:dyDescent="0.2">
      <c r="A44" s="50" t="s">
        <v>317</v>
      </c>
      <c r="B44" s="142"/>
      <c r="C44" s="56"/>
      <c r="D44" s="142"/>
      <c r="E44" s="56"/>
      <c r="F44" s="142"/>
      <c r="G44" s="56"/>
      <c r="H44" s="141"/>
      <c r="I44" s="51"/>
      <c r="J44" s="141"/>
      <c r="K44" s="51"/>
      <c r="L44" s="141"/>
      <c r="M44" s="51"/>
      <c r="N44" s="141"/>
      <c r="O44" s="51"/>
      <c r="P44" s="52"/>
      <c r="Q44" s="53" t="s">
        <v>317</v>
      </c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0" t="s">
        <v>317</v>
      </c>
      <c r="AN44" s="71"/>
      <c r="AO44" s="71"/>
      <c r="AP44" s="72"/>
    </row>
    <row r="45" spans="1:42" s="54" customFormat="1" ht="24.95" customHeight="1" x14ac:dyDescent="0.2">
      <c r="A45" s="54" t="s">
        <v>318</v>
      </c>
      <c r="B45" s="142">
        <f>'Consolidated Balance Sheet'!B97</f>
        <v>0</v>
      </c>
      <c r="C45" s="56"/>
      <c r="D45" s="142">
        <f>'Consolidated Balance Sheet'!D97</f>
        <v>0</v>
      </c>
      <c r="E45" s="56"/>
      <c r="F45" s="142">
        <f>'Consolidated Balance Sheet'!F97</f>
        <v>0</v>
      </c>
      <c r="G45" s="56"/>
      <c r="H45" s="142">
        <f>'Consolidated Balance Sheet'!H97</f>
        <v>0</v>
      </c>
      <c r="I45" s="56"/>
      <c r="J45" s="142">
        <f>'Consolidated Balance Sheet'!J97</f>
        <v>0</v>
      </c>
      <c r="K45" s="56"/>
      <c r="L45" s="142">
        <f>'Consolidated Balance Sheet'!L97</f>
        <v>0</v>
      </c>
      <c r="M45" s="56"/>
      <c r="N45" s="142">
        <f>'Consolidated Balance Sheet'!N97</f>
        <v>0</v>
      </c>
      <c r="O45" s="56"/>
      <c r="P45" s="56">
        <f>SUM(B45:N45)</f>
        <v>0</v>
      </c>
      <c r="Q45" s="51" t="s">
        <v>318</v>
      </c>
      <c r="R45" s="56">
        <f>'Consolidated Balance Sheet'!R97</f>
        <v>121279.17</v>
      </c>
      <c r="S45" s="56"/>
      <c r="T45" s="56">
        <f>'Consolidated Balance Sheet'!T97</f>
        <v>0</v>
      </c>
      <c r="U45" s="56"/>
      <c r="V45" s="56">
        <f>'Consolidated Balance Sheet'!V97</f>
        <v>0</v>
      </c>
      <c r="W45" s="56"/>
      <c r="X45" s="56">
        <f>'Consolidated Balance Sheet'!X97</f>
        <v>0</v>
      </c>
      <c r="Y45" s="56"/>
      <c r="Z45" s="56">
        <f>'Consolidated Balance Sheet'!Z97</f>
        <v>1326118.43</v>
      </c>
      <c r="AA45" s="56"/>
      <c r="AB45" s="56">
        <f>'Consolidated Balance Sheet'!AB97</f>
        <v>0</v>
      </c>
      <c r="AC45" s="56"/>
      <c r="AD45" s="56">
        <f>'Consolidated Balance Sheet'!AD97</f>
        <v>0</v>
      </c>
      <c r="AE45" s="56"/>
      <c r="AF45" s="56">
        <f>SUM(R45:AD45)</f>
        <v>1447397.5999999999</v>
      </c>
      <c r="AG45" s="54" t="s">
        <v>318</v>
      </c>
      <c r="AH45" s="63">
        <f>P45</f>
        <v>0</v>
      </c>
      <c r="AI45" s="63"/>
      <c r="AJ45" s="63">
        <f>AF45</f>
        <v>1447397.5999999999</v>
      </c>
      <c r="AK45" s="63"/>
      <c r="AL45" s="63">
        <f>AH45-AJ45</f>
        <v>-1447397.5999999999</v>
      </c>
      <c r="AM45" s="63"/>
      <c r="AN45" s="59">
        <f>AH45/AJ45</f>
        <v>0</v>
      </c>
      <c r="AO45" s="59"/>
      <c r="AP45" s="60">
        <f>AN45-1</f>
        <v>-1</v>
      </c>
    </row>
    <row r="46" spans="1:42" s="54" customFormat="1" ht="24.95" customHeight="1" x14ac:dyDescent="0.2">
      <c r="A46" s="54" t="s">
        <v>484</v>
      </c>
      <c r="B46" s="144">
        <f>'Consolidated Balance Sheet'!B98+'Consolidated Balance Sheet'!B99+'Consolidated Balance Sheet'!B100+'Consolidated Balance Sheet'!B101</f>
        <v>2487308.4000000004</v>
      </c>
      <c r="C46" s="66"/>
      <c r="D46" s="144">
        <f>'Consolidated Balance Sheet'!D98+'Consolidated Balance Sheet'!D99+'Consolidated Balance Sheet'!D100+'Consolidated Balance Sheet'!D101</f>
        <v>0</v>
      </c>
      <c r="E46" s="66"/>
      <c r="F46" s="144">
        <f>'Consolidated Balance Sheet'!F98+'Consolidated Balance Sheet'!F99+'Consolidated Balance Sheet'!F100+'Consolidated Balance Sheet'!F101</f>
        <v>0</v>
      </c>
      <c r="G46" s="66"/>
      <c r="H46" s="144">
        <f>'Consolidated Balance Sheet'!H98+'Consolidated Balance Sheet'!H99+'Consolidated Balance Sheet'!H100+'Consolidated Balance Sheet'!H101</f>
        <v>0</v>
      </c>
      <c r="I46" s="66"/>
      <c r="J46" s="144">
        <f>'Consolidated Balance Sheet'!J98+'Consolidated Balance Sheet'!J99+'Consolidated Balance Sheet'!J100+'Consolidated Balance Sheet'!J101</f>
        <v>1038675.03</v>
      </c>
      <c r="K46" s="66"/>
      <c r="L46" s="144">
        <f>'Consolidated Balance Sheet'!L98+'Consolidated Balance Sheet'!L99+'Consolidated Balance Sheet'!L100+'Consolidated Balance Sheet'!L101</f>
        <v>247750</v>
      </c>
      <c r="M46" s="67"/>
      <c r="N46" s="144">
        <f>'Consolidated Balance Sheet'!N98+'Consolidated Balance Sheet'!N99+'Consolidated Balance Sheet'!N100+'Consolidated Balance Sheet'!N101</f>
        <v>5866002.1500000004</v>
      </c>
      <c r="O46" s="67"/>
      <c r="P46" s="66">
        <f>SUM(B46:N46)</f>
        <v>9639735.5800000019</v>
      </c>
      <c r="Q46" s="51" t="s">
        <v>319</v>
      </c>
      <c r="R46" s="66">
        <f>'Consolidated Balance Sheet'!R98+'Consolidated Balance Sheet'!R99+'Consolidated Balance Sheet'!R100+'Consolidated Balance Sheet'!R101</f>
        <v>2437126.46</v>
      </c>
      <c r="S46" s="66"/>
      <c r="T46" s="66">
        <f>'Consolidated Balance Sheet'!T98+'Consolidated Balance Sheet'!T99+'Consolidated Balance Sheet'!T100+'Consolidated Balance Sheet'!T101</f>
        <v>0</v>
      </c>
      <c r="U46" s="66"/>
      <c r="V46" s="66">
        <f>'Consolidated Balance Sheet'!V98+'Consolidated Balance Sheet'!V99+'Consolidated Balance Sheet'!V100+'Consolidated Balance Sheet'!V101</f>
        <v>0</v>
      </c>
      <c r="W46" s="66"/>
      <c r="X46" s="66">
        <f>'Consolidated Balance Sheet'!X98+'Consolidated Balance Sheet'!X99+'Consolidated Balance Sheet'!X100+'Consolidated Balance Sheet'!X101</f>
        <v>0</v>
      </c>
      <c r="Y46" s="66"/>
      <c r="Z46" s="66">
        <f>'Consolidated Balance Sheet'!Z98+'Consolidated Balance Sheet'!Z99+'Consolidated Balance Sheet'!Z100+'Consolidated Balance Sheet'!Z101</f>
        <v>1038675.03</v>
      </c>
      <c r="AA46" s="66"/>
      <c r="AB46" s="66">
        <f>'Consolidated Balance Sheet'!AB98+'Consolidated Balance Sheet'!AB99+'Consolidated Balance Sheet'!AB100+'Consolidated Balance Sheet'!AB101</f>
        <v>247750</v>
      </c>
      <c r="AC46" s="66"/>
      <c r="AD46" s="66">
        <f>'Consolidated Balance Sheet'!AD98+'Consolidated Balance Sheet'!AD99+'Consolidated Balance Sheet'!AD100+'Consolidated Balance Sheet'!AD101</f>
        <v>5866002.1500000004</v>
      </c>
      <c r="AE46" s="66"/>
      <c r="AF46" s="66">
        <f>SUM(R46:AD46)</f>
        <v>9589553.6400000006</v>
      </c>
      <c r="AG46" s="54" t="s">
        <v>319</v>
      </c>
      <c r="AH46" s="68">
        <f>P46</f>
        <v>9639735.5800000019</v>
      </c>
      <c r="AI46" s="68"/>
      <c r="AJ46" s="68">
        <f>AF46</f>
        <v>9589553.6400000006</v>
      </c>
      <c r="AK46" s="68"/>
      <c r="AL46" s="68">
        <f>AH46-AJ46</f>
        <v>50181.940000001341</v>
      </c>
      <c r="AM46" s="63"/>
      <c r="AN46" s="59">
        <f>AH46/AJ46</f>
        <v>1.0052329797489929</v>
      </c>
      <c r="AO46" s="59"/>
      <c r="AP46" s="60">
        <f>AN46-1</f>
        <v>5.2329797489929497E-3</v>
      </c>
    </row>
    <row r="47" spans="1:42" s="54" customFormat="1" ht="24.95" customHeight="1" x14ac:dyDescent="0.2">
      <c r="A47" s="73" t="s">
        <v>323</v>
      </c>
      <c r="B47" s="142">
        <f>SUM(B45:B46)</f>
        <v>2487308.4000000004</v>
      </c>
      <c r="C47" s="56"/>
      <c r="D47" s="142">
        <f>SUM(D45:D46)</f>
        <v>0</v>
      </c>
      <c r="E47" s="56"/>
      <c r="F47" s="142">
        <f>SUM(F45:F46)</f>
        <v>0</v>
      </c>
      <c r="G47" s="56"/>
      <c r="H47" s="142">
        <f>SUM(H45:H46)</f>
        <v>0</v>
      </c>
      <c r="I47" s="56"/>
      <c r="J47" s="142">
        <f>SUM(J45:J46)</f>
        <v>1038675.03</v>
      </c>
      <c r="K47" s="56"/>
      <c r="L47" s="142">
        <f>SUM(L45:L46)</f>
        <v>247750</v>
      </c>
      <c r="M47" s="56"/>
      <c r="N47" s="142">
        <f>SUM(N45:N46)</f>
        <v>5866002.1500000004</v>
      </c>
      <c r="O47" s="56"/>
      <c r="P47" s="56">
        <f>SUM(P45:P46)</f>
        <v>9639735.5800000019</v>
      </c>
      <c r="Q47" s="75" t="s">
        <v>323</v>
      </c>
      <c r="R47" s="56">
        <f>SUM(R45:R46)</f>
        <v>2558405.63</v>
      </c>
      <c r="S47" s="56"/>
      <c r="T47" s="56">
        <f>SUM(T45:T46)</f>
        <v>0</v>
      </c>
      <c r="U47" s="56"/>
      <c r="V47" s="56">
        <f>SUM(V45:V46)</f>
        <v>0</v>
      </c>
      <c r="W47" s="56"/>
      <c r="X47" s="56">
        <f>SUM(X45:X46)</f>
        <v>0</v>
      </c>
      <c r="Y47" s="56"/>
      <c r="Z47" s="56">
        <f>SUM(Z45:Z46)</f>
        <v>2364793.46</v>
      </c>
      <c r="AA47" s="56"/>
      <c r="AB47" s="56">
        <f>SUM(AB45:AB46)</f>
        <v>247750</v>
      </c>
      <c r="AC47" s="56"/>
      <c r="AD47" s="56">
        <f>SUM(AD45:AD46)</f>
        <v>5866002.1500000004</v>
      </c>
      <c r="AE47" s="56"/>
      <c r="AF47" s="56">
        <f>SUM(AF45:AF46)</f>
        <v>11036951.24</v>
      </c>
      <c r="AG47" s="73" t="s">
        <v>323</v>
      </c>
      <c r="AH47" s="58">
        <f>SUM(AH45:AH46)</f>
        <v>9639735.5800000019</v>
      </c>
      <c r="AI47" s="58"/>
      <c r="AJ47" s="58">
        <f>SUM(AJ45:AJ46)</f>
        <v>11036951.24</v>
      </c>
      <c r="AK47" s="58"/>
      <c r="AL47" s="58">
        <f>SUM(AL45:AL46)</f>
        <v>-1397215.6599999985</v>
      </c>
      <c r="AM47" s="58"/>
      <c r="AN47" s="59">
        <f>AH47/AJ47</f>
        <v>0.87340565074381915</v>
      </c>
      <c r="AO47" s="59"/>
      <c r="AP47" s="60">
        <f>AN47-1</f>
        <v>-0.12659434925618085</v>
      </c>
    </row>
    <row r="48" spans="1:42" s="54" customFormat="1" ht="24.95" customHeight="1" x14ac:dyDescent="0.2">
      <c r="A48" s="73"/>
      <c r="B48" s="142"/>
      <c r="C48" s="56"/>
      <c r="D48" s="142"/>
      <c r="E48" s="56"/>
      <c r="F48" s="142"/>
      <c r="G48" s="56"/>
      <c r="H48" s="142"/>
      <c r="I48" s="56"/>
      <c r="J48" s="142"/>
      <c r="K48" s="56"/>
      <c r="L48" s="142"/>
      <c r="M48" s="56"/>
      <c r="N48" s="142"/>
      <c r="O48" s="56"/>
      <c r="P48" s="52"/>
      <c r="Q48" s="75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73"/>
      <c r="AN48" s="71"/>
      <c r="AO48" s="71"/>
      <c r="AP48" s="60"/>
    </row>
    <row r="49" spans="1:42" s="54" customFormat="1" ht="24.95" customHeight="1" x14ac:dyDescent="0.2">
      <c r="A49" s="84" t="s">
        <v>324</v>
      </c>
      <c r="B49" s="145">
        <f>B47+B42</f>
        <v>25394536.060000002</v>
      </c>
      <c r="C49" s="74"/>
      <c r="D49" s="145">
        <f>D47+D42</f>
        <v>2249972.66</v>
      </c>
      <c r="E49" s="74"/>
      <c r="F49" s="145">
        <f>F47+F42</f>
        <v>341413.01</v>
      </c>
      <c r="G49" s="74"/>
      <c r="H49" s="145">
        <f>H47+H42</f>
        <v>307055.89</v>
      </c>
      <c r="I49" s="74"/>
      <c r="J49" s="145">
        <f>J47+J42</f>
        <v>3253100.37</v>
      </c>
      <c r="K49" s="74"/>
      <c r="L49" s="145">
        <f>L47+L42</f>
        <v>339387.65</v>
      </c>
      <c r="M49" s="74"/>
      <c r="N49" s="145">
        <f>N47+N42</f>
        <v>6135567.25</v>
      </c>
      <c r="O49" s="74"/>
      <c r="P49" s="74">
        <f>P47+P42</f>
        <v>38021032.890000001</v>
      </c>
      <c r="Q49" s="85" t="s">
        <v>324</v>
      </c>
      <c r="R49" s="74">
        <f>R47+R42</f>
        <v>16470926.98</v>
      </c>
      <c r="S49" s="74"/>
      <c r="T49" s="74">
        <f>T47+T42</f>
        <v>780066.2699999999</v>
      </c>
      <c r="U49" s="74"/>
      <c r="V49" s="74">
        <f>V47+V42</f>
        <v>21879.84</v>
      </c>
      <c r="W49" s="74"/>
      <c r="X49" s="74">
        <f>X47+X42</f>
        <v>1553378.64</v>
      </c>
      <c r="Y49" s="74"/>
      <c r="Z49" s="74">
        <f>Z47+Z42</f>
        <v>3247222.9</v>
      </c>
      <c r="AA49" s="74"/>
      <c r="AB49" s="74">
        <f>AB47+AB42</f>
        <v>323646.18</v>
      </c>
      <c r="AC49" s="74"/>
      <c r="AD49" s="74">
        <f>AD47+AD42</f>
        <v>5791886.0500000007</v>
      </c>
      <c r="AE49" s="74"/>
      <c r="AF49" s="74">
        <f>AF47+AF42</f>
        <v>28189006.860000007</v>
      </c>
      <c r="AG49" s="84" t="s">
        <v>324</v>
      </c>
      <c r="AH49" s="76">
        <f>AH42+AH47</f>
        <v>38021032.890000001</v>
      </c>
      <c r="AI49" s="76"/>
      <c r="AJ49" s="76">
        <f>AJ42+AJ47</f>
        <v>28189006.860000007</v>
      </c>
      <c r="AK49" s="76"/>
      <c r="AL49" s="76">
        <f>AL42+AL47</f>
        <v>9832026.0299999993</v>
      </c>
      <c r="AM49" s="63"/>
      <c r="AN49" s="59">
        <f>AH49/AJ49</f>
        <v>1.3487893730641347</v>
      </c>
      <c r="AO49" s="59"/>
      <c r="AP49" s="60">
        <f>AN49-1</f>
        <v>0.34878937306413471</v>
      </c>
    </row>
    <row r="50" spans="1:42" s="54" customFormat="1" ht="24.95" customHeight="1" x14ac:dyDescent="0.2">
      <c r="B50" s="142"/>
      <c r="C50" s="56"/>
      <c r="D50" s="142"/>
      <c r="E50" s="56"/>
      <c r="F50" s="142"/>
      <c r="G50" s="56"/>
      <c r="H50" s="141"/>
      <c r="I50" s="51"/>
      <c r="J50" s="141"/>
      <c r="K50" s="51"/>
      <c r="L50" s="141"/>
      <c r="M50" s="51"/>
      <c r="N50" s="141"/>
      <c r="O50" s="51"/>
      <c r="P50" s="52"/>
      <c r="Q50" s="51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N50" s="71"/>
      <c r="AO50" s="71"/>
      <c r="AP50" s="72"/>
    </row>
    <row r="51" spans="1:42" s="54" customFormat="1" ht="24.95" customHeight="1" x14ac:dyDescent="0.2">
      <c r="A51" s="50" t="s">
        <v>161</v>
      </c>
      <c r="B51" s="142"/>
      <c r="C51" s="56"/>
      <c r="D51" s="142"/>
      <c r="E51" s="56"/>
      <c r="F51" s="142"/>
      <c r="G51" s="56"/>
      <c r="H51" s="141"/>
      <c r="I51" s="51"/>
      <c r="J51" s="141"/>
      <c r="K51" s="51"/>
      <c r="L51" s="141"/>
      <c r="M51" s="51"/>
      <c r="N51" s="141"/>
      <c r="O51" s="51"/>
      <c r="P51" s="52"/>
      <c r="Q51" s="53" t="s">
        <v>161</v>
      </c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0" t="s">
        <v>161</v>
      </c>
      <c r="AN51" s="71"/>
      <c r="AO51" s="71"/>
      <c r="AP51" s="72"/>
    </row>
    <row r="52" spans="1:42" s="54" customFormat="1" ht="24.95" customHeight="1" x14ac:dyDescent="0.2">
      <c r="A52" s="54" t="s">
        <v>325</v>
      </c>
      <c r="B52" s="142">
        <f>'Consolidated Balance Sheet'!B107</f>
        <v>152325</v>
      </c>
      <c r="C52" s="56">
        <f>'Consolidated Balance Sheet'!C107</f>
        <v>0</v>
      </c>
      <c r="D52" s="142">
        <f>'Consolidated Balance Sheet'!D107</f>
        <v>0</v>
      </c>
      <c r="E52" s="56">
        <f>'Consolidated Balance Sheet'!E107</f>
        <v>0</v>
      </c>
      <c r="F52" s="142">
        <f>'Consolidated Balance Sheet'!F107</f>
        <v>1000</v>
      </c>
      <c r="G52" s="56">
        <f>'Consolidated Balance Sheet'!G107</f>
        <v>0</v>
      </c>
      <c r="H52" s="142">
        <f>'Consolidated Balance Sheet'!H107</f>
        <v>0</v>
      </c>
      <c r="I52" s="56">
        <f>'Consolidated Balance Sheet'!I107</f>
        <v>0</v>
      </c>
      <c r="J52" s="142">
        <f>'Consolidated Balance Sheet'!J107</f>
        <v>25000.03</v>
      </c>
      <c r="K52" s="56">
        <f>'Consolidated Balance Sheet'!K107</f>
        <v>0</v>
      </c>
      <c r="L52" s="142">
        <f>'Consolidated Balance Sheet'!L107</f>
        <v>0</v>
      </c>
      <c r="M52" s="56"/>
      <c r="N52" s="142">
        <f>'Consolidated Balance Sheet'!N107</f>
        <v>0</v>
      </c>
      <c r="O52" s="56"/>
      <c r="P52" s="56">
        <f>SUM(B52:N52)</f>
        <v>178325.03</v>
      </c>
      <c r="Q52" s="51" t="s">
        <v>325</v>
      </c>
      <c r="R52" s="56">
        <f>'Consolidated Balance Sheet'!R107</f>
        <v>152325</v>
      </c>
      <c r="S52" s="56"/>
      <c r="T52" s="56">
        <f>'Consolidated Balance Sheet'!T107</f>
        <v>0</v>
      </c>
      <c r="U52" s="56"/>
      <c r="V52" s="56">
        <f>'Consolidated Balance Sheet'!V107</f>
        <v>1000</v>
      </c>
      <c r="W52" s="56"/>
      <c r="X52" s="56">
        <f>'Consolidated Balance Sheet'!X107</f>
        <v>0</v>
      </c>
      <c r="Y52" s="56"/>
      <c r="Z52" s="56">
        <f>'Consolidated Balance Sheet'!Z107</f>
        <v>25000.03</v>
      </c>
      <c r="AA52" s="56"/>
      <c r="AB52" s="56">
        <f>'Consolidated Balance Sheet'!AB107</f>
        <v>0</v>
      </c>
      <c r="AC52" s="56"/>
      <c r="AD52" s="56">
        <f>'Consolidated Balance Sheet'!AD107</f>
        <v>0</v>
      </c>
      <c r="AE52" s="56"/>
      <c r="AF52" s="56">
        <f>SUM(R52:AD52)</f>
        <v>178325.03</v>
      </c>
      <c r="AG52" s="54" t="s">
        <v>325</v>
      </c>
      <c r="AH52" s="63">
        <f>P52</f>
        <v>178325.03</v>
      </c>
      <c r="AI52" s="63"/>
      <c r="AJ52" s="63">
        <f>AF52</f>
        <v>178325.03</v>
      </c>
      <c r="AK52" s="63"/>
      <c r="AL52" s="63">
        <f>AH52-AJ52</f>
        <v>0</v>
      </c>
      <c r="AM52" s="63"/>
      <c r="AN52" s="59">
        <f t="shared" ref="AN52:AN58" si="18">AH52/AJ52</f>
        <v>1</v>
      </c>
      <c r="AO52" s="59"/>
      <c r="AP52" s="60">
        <f t="shared" ref="AP52:AP58" si="19">AN52-1</f>
        <v>0</v>
      </c>
    </row>
    <row r="53" spans="1:42" s="54" customFormat="1" ht="24.95" customHeight="1" x14ac:dyDescent="0.2">
      <c r="A53" s="54" t="s">
        <v>485</v>
      </c>
      <c r="B53" s="142">
        <f>'Consolidated Balance Sheet'!B108+'Consolidated Balance Sheet'!B109+'Consolidated Balance Sheet'!B110</f>
        <v>12752145.690000001</v>
      </c>
      <c r="C53" s="56">
        <f>'Consolidated Balance Sheet'!C108+'Consolidated Balance Sheet'!C109+'Consolidated Balance Sheet'!C110</f>
        <v>0</v>
      </c>
      <c r="D53" s="142">
        <f>'Consolidated Balance Sheet'!D108+'Consolidated Balance Sheet'!D109+'Consolidated Balance Sheet'!D110</f>
        <v>2352798.33</v>
      </c>
      <c r="E53" s="56">
        <f>'Consolidated Balance Sheet'!E108+'Consolidated Balance Sheet'!E109+'Consolidated Balance Sheet'!E110</f>
        <v>0</v>
      </c>
      <c r="F53" s="142">
        <f>'Consolidated Balance Sheet'!F108+'Consolidated Balance Sheet'!F109+'Consolidated Balance Sheet'!F110</f>
        <v>1843116.3199999998</v>
      </c>
      <c r="G53" s="56">
        <f>'Consolidated Balance Sheet'!G108+'Consolidated Balance Sheet'!G109+'Consolidated Balance Sheet'!G110</f>
        <v>0</v>
      </c>
      <c r="H53" s="142">
        <f>'Consolidated Balance Sheet'!H108+'Consolidated Balance Sheet'!H109+'Consolidated Balance Sheet'!H110</f>
        <v>397296.13</v>
      </c>
      <c r="I53" s="56">
        <f>'Consolidated Balance Sheet'!I108+'Consolidated Balance Sheet'!I109+'Consolidated Balance Sheet'!I110</f>
        <v>0</v>
      </c>
      <c r="J53" s="142">
        <f>'Consolidated Balance Sheet'!J108+'Consolidated Balance Sheet'!J109+'Consolidated Balance Sheet'!J110</f>
        <v>-1255888.23</v>
      </c>
      <c r="K53" s="56">
        <f>'Consolidated Balance Sheet'!K108+'Consolidated Balance Sheet'!K109+'Consolidated Balance Sheet'!K110</f>
        <v>0</v>
      </c>
      <c r="L53" s="142">
        <f>'Consolidated Balance Sheet'!L108+'Consolidated Balance Sheet'!L109+'Consolidated Balance Sheet'!L110</f>
        <v>4921086.0399999991</v>
      </c>
      <c r="M53" s="56"/>
      <c r="N53" s="142">
        <f>'Consolidated Balance Sheet'!N108+'Consolidated Balance Sheet'!N109+'Consolidated Balance Sheet'!N110</f>
        <v>2116944.4900000002</v>
      </c>
      <c r="O53" s="56"/>
      <c r="P53" s="56">
        <f>SUM(B53:N53)</f>
        <v>23127498.769999996</v>
      </c>
      <c r="Q53" s="51" t="s">
        <v>513</v>
      </c>
      <c r="R53" s="56">
        <f>'Consolidated Balance Sheet'!R108+'Consolidated Balance Sheet'!R109+'Consolidated Balance Sheet'!R110</f>
        <v>19668332.830000002</v>
      </c>
      <c r="S53" s="56"/>
      <c r="T53" s="56">
        <f>'Consolidated Balance Sheet'!T108+'Consolidated Balance Sheet'!T109+'Consolidated Balance Sheet'!T110</f>
        <v>2087186.8199999998</v>
      </c>
      <c r="U53" s="56"/>
      <c r="V53" s="56">
        <f>'Consolidated Balance Sheet'!V108+'Consolidated Balance Sheet'!V109+'Consolidated Balance Sheet'!V110</f>
        <v>1357581.44</v>
      </c>
      <c r="W53" s="56"/>
      <c r="X53" s="56">
        <f>'Consolidated Balance Sheet'!X108+'Consolidated Balance Sheet'!X109+'Consolidated Balance Sheet'!X110</f>
        <v>369254.87</v>
      </c>
      <c r="Y53" s="56"/>
      <c r="Z53" s="56">
        <f>'Consolidated Balance Sheet'!Z108+'Consolidated Balance Sheet'!Z109+'Consolidated Balance Sheet'!Z110</f>
        <v>-1210076.05</v>
      </c>
      <c r="AA53" s="56"/>
      <c r="AB53" s="56">
        <f>'Consolidated Balance Sheet'!AB108+'Consolidated Balance Sheet'!AB109+'Consolidated Balance Sheet'!AB110</f>
        <v>5022207.51</v>
      </c>
      <c r="AC53" s="56"/>
      <c r="AD53" s="56">
        <f>'Consolidated Balance Sheet'!AD108+'Consolidated Balance Sheet'!AD109+'Consolidated Balance Sheet'!AD110</f>
        <v>2229482.02</v>
      </c>
      <c r="AE53" s="56"/>
      <c r="AF53" s="56">
        <f>SUM(R53:AD53)</f>
        <v>29523969.440000001</v>
      </c>
      <c r="AG53" s="54" t="s">
        <v>326</v>
      </c>
      <c r="AH53" s="63">
        <f>P53</f>
        <v>23127498.769999996</v>
      </c>
      <c r="AI53" s="63"/>
      <c r="AJ53" s="63">
        <f>AF53</f>
        <v>29523969.440000001</v>
      </c>
      <c r="AK53" s="63"/>
      <c r="AL53" s="63">
        <f>AH53-AJ53</f>
        <v>-6396470.6700000055</v>
      </c>
      <c r="AM53" s="63"/>
      <c r="AN53" s="59">
        <f t="shared" si="18"/>
        <v>0.78334652178125252</v>
      </c>
      <c r="AO53" s="59"/>
      <c r="AP53" s="60">
        <f t="shared" si="19"/>
        <v>-0.21665347821874748</v>
      </c>
    </row>
    <row r="54" spans="1:42" s="54" customFormat="1" ht="24.95" customHeight="1" x14ac:dyDescent="0.2">
      <c r="A54" s="54" t="s">
        <v>555</v>
      </c>
      <c r="B54" s="142">
        <f>'Consolidated Balance Sheet'!B111</f>
        <v>21195.55</v>
      </c>
      <c r="C54" s="56">
        <f>'Consolidated Balance Sheet'!C109+'Consolidated Balance Sheet'!C110+'Consolidated Balance Sheet'!C111</f>
        <v>0</v>
      </c>
      <c r="D54" s="142">
        <f>'Consolidated Balance Sheet'!D111</f>
        <v>0</v>
      </c>
      <c r="E54" s="56">
        <f>'Consolidated Balance Sheet'!E109+'Consolidated Balance Sheet'!E110+'Consolidated Balance Sheet'!E111</f>
        <v>0</v>
      </c>
      <c r="F54" s="142">
        <f>'Consolidated Balance Sheet'!F111</f>
        <v>3181448.74</v>
      </c>
      <c r="G54" s="56">
        <f>'Consolidated Balance Sheet'!G109+'Consolidated Balance Sheet'!G110+'Consolidated Balance Sheet'!G111</f>
        <v>0</v>
      </c>
      <c r="H54" s="142">
        <f>'Consolidated Balance Sheet'!H111</f>
        <v>0</v>
      </c>
      <c r="I54" s="56">
        <f>'Consolidated Balance Sheet'!I109+'Consolidated Balance Sheet'!I110+'Consolidated Balance Sheet'!I111</f>
        <v>0</v>
      </c>
      <c r="J54" s="142">
        <f>'Consolidated Balance Sheet'!J111</f>
        <v>0</v>
      </c>
      <c r="K54" s="56">
        <f>'Consolidated Balance Sheet'!K109+'Consolidated Balance Sheet'!K110+'Consolidated Balance Sheet'!K111</f>
        <v>0</v>
      </c>
      <c r="L54" s="142">
        <f>'Consolidated Balance Sheet'!L111</f>
        <v>0</v>
      </c>
      <c r="M54" s="56"/>
      <c r="N54" s="142">
        <f>'Consolidated Balance Sheet'!N111</f>
        <v>0</v>
      </c>
      <c r="O54" s="56"/>
      <c r="P54" s="56">
        <f>SUM(B54:N54)</f>
        <v>3202644.29</v>
      </c>
      <c r="Q54" s="54" t="s">
        <v>555</v>
      </c>
      <c r="R54" s="56">
        <f>'CNT 10.31.17'!S101+'CNT 10.31.17'!S102+'CNT 10.31.17'!S103+'CNT 10.31.17'!S104+'CNT 10.31.17'!S105</f>
        <v>-3592625.35</v>
      </c>
      <c r="S54" s="56"/>
      <c r="T54" s="56">
        <v>0</v>
      </c>
      <c r="U54" s="56"/>
      <c r="V54" s="56">
        <f>'DEP 10.31.17'!S44+'DEP 10.31.17'!S45+'DEP 10.31.17'!S46+'DEP 10.31.17'!S47+'DEP 10.31.17'!S48</f>
        <v>2560555.9499999997</v>
      </c>
      <c r="W54" s="56"/>
      <c r="X54" s="56">
        <v>0</v>
      </c>
      <c r="Y54" s="56"/>
      <c r="Z54" s="56">
        <v>0</v>
      </c>
      <c r="AA54" s="56"/>
      <c r="AB54" s="56">
        <v>0</v>
      </c>
      <c r="AC54" s="56"/>
      <c r="AD54" s="56">
        <v>0</v>
      </c>
      <c r="AE54" s="56"/>
      <c r="AF54" s="56">
        <f>SUM(R54:AD54)</f>
        <v>-1032069.4000000004</v>
      </c>
      <c r="AG54" s="54" t="s">
        <v>555</v>
      </c>
      <c r="AH54" s="63">
        <f>P54</f>
        <v>3202644.29</v>
      </c>
      <c r="AI54" s="63">
        <v>0</v>
      </c>
      <c r="AJ54" s="63">
        <v>0</v>
      </c>
      <c r="AK54" s="63"/>
      <c r="AL54" s="63">
        <f>AH54-AJ54</f>
        <v>3202644.29</v>
      </c>
      <c r="AM54" s="63"/>
      <c r="AN54" s="59"/>
      <c r="AO54" s="59"/>
      <c r="AP54" s="60"/>
    </row>
    <row r="55" spans="1:42" s="54" customFormat="1" ht="24.95" customHeight="1" x14ac:dyDescent="0.2">
      <c r="A55" s="54" t="s">
        <v>329</v>
      </c>
      <c r="B55" s="144">
        <f>'Consolidated Balance Sheet'!B112+'Consolidated Balance Sheet'!B113+'Consolidated Balance Sheet'!B114+'Consolidated Balance Sheet'!B115+'Consolidated Balance Sheet'!B116+'Consolidated Balance Sheet'!B117+'Consolidated Balance Sheet'!B118</f>
        <v>-18000</v>
      </c>
      <c r="C55" s="66">
        <f>'Consolidated Balance Sheet'!C112+'Consolidated Balance Sheet'!C113+'Consolidated Balance Sheet'!C114+'Consolidated Balance Sheet'!C115+'Consolidated Balance Sheet'!C116+'Consolidated Balance Sheet'!C117+'Consolidated Balance Sheet'!C118</f>
        <v>0</v>
      </c>
      <c r="D55" s="144">
        <f>'Consolidated Balance Sheet'!D112+'Consolidated Balance Sheet'!D113+'Consolidated Balance Sheet'!D114+'Consolidated Balance Sheet'!D115+'Consolidated Balance Sheet'!D116+'Consolidated Balance Sheet'!D117+'Consolidated Balance Sheet'!D118</f>
        <v>0</v>
      </c>
      <c r="E55" s="66">
        <f>'Consolidated Balance Sheet'!E112+'Consolidated Balance Sheet'!E113+'Consolidated Balance Sheet'!E114+'Consolidated Balance Sheet'!E115+'Consolidated Balance Sheet'!E116+'Consolidated Balance Sheet'!E117+'Consolidated Balance Sheet'!E118</f>
        <v>0</v>
      </c>
      <c r="F55" s="144">
        <f>'Consolidated Balance Sheet'!F112+'Consolidated Balance Sheet'!F113+'Consolidated Balance Sheet'!F114+'Consolidated Balance Sheet'!F115+'Consolidated Balance Sheet'!F116+'Consolidated Balance Sheet'!F117+'Consolidated Balance Sheet'!F118</f>
        <v>0</v>
      </c>
      <c r="G55" s="66">
        <f>'Consolidated Balance Sheet'!G112+'Consolidated Balance Sheet'!G113+'Consolidated Balance Sheet'!G114+'Consolidated Balance Sheet'!G115+'Consolidated Balance Sheet'!G116+'Consolidated Balance Sheet'!G117+'Consolidated Balance Sheet'!G118</f>
        <v>0</v>
      </c>
      <c r="H55" s="144">
        <f>'Consolidated Balance Sheet'!H112+'Consolidated Balance Sheet'!H113+'Consolidated Balance Sheet'!H114+'Consolidated Balance Sheet'!H115+'Consolidated Balance Sheet'!H116+'Consolidated Balance Sheet'!H117+'Consolidated Balance Sheet'!H118</f>
        <v>0</v>
      </c>
      <c r="I55" s="66">
        <f>'Consolidated Balance Sheet'!I112+'Consolidated Balance Sheet'!I113+'Consolidated Balance Sheet'!I114+'Consolidated Balance Sheet'!I115+'Consolidated Balance Sheet'!I116+'Consolidated Balance Sheet'!I117+'Consolidated Balance Sheet'!I118</f>
        <v>0</v>
      </c>
      <c r="J55" s="144">
        <f>'Consolidated Balance Sheet'!J112+'Consolidated Balance Sheet'!J113+'Consolidated Balance Sheet'!J114+'Consolidated Balance Sheet'!J115+'Consolidated Balance Sheet'!J116+'Consolidated Balance Sheet'!J117+'Consolidated Balance Sheet'!J118</f>
        <v>0</v>
      </c>
      <c r="K55" s="66">
        <f>'Consolidated Balance Sheet'!K112+'Consolidated Balance Sheet'!K113+'Consolidated Balance Sheet'!K114+'Consolidated Balance Sheet'!K115+'Consolidated Balance Sheet'!K116+'Consolidated Balance Sheet'!K117+'Consolidated Balance Sheet'!K118</f>
        <v>0</v>
      </c>
      <c r="L55" s="144">
        <f>'Consolidated Balance Sheet'!L112+'Consolidated Balance Sheet'!L113+'Consolidated Balance Sheet'!L114+'Consolidated Balance Sheet'!L115+'Consolidated Balance Sheet'!L116+'Consolidated Balance Sheet'!L117+'Consolidated Balance Sheet'!L118</f>
        <v>-45000</v>
      </c>
      <c r="M55" s="66"/>
      <c r="N55" s="144">
        <f>'Consolidated Balance Sheet'!N112+'Consolidated Balance Sheet'!N113+'Consolidated Balance Sheet'!N114+'Consolidated Balance Sheet'!N115+'Consolidated Balance Sheet'!N116+'Consolidated Balance Sheet'!N117+'Consolidated Balance Sheet'!N118</f>
        <v>0</v>
      </c>
      <c r="O55" s="66"/>
      <c r="P55" s="66">
        <f>SUM(B55:N55)</f>
        <v>-63000</v>
      </c>
      <c r="Q55" s="51" t="s">
        <v>329</v>
      </c>
      <c r="R55" s="66">
        <v>0</v>
      </c>
      <c r="S55" s="66"/>
      <c r="T55" s="66">
        <f>'Consolidated Balance Sheet'!T112+'Consolidated Balance Sheet'!T113+'Consolidated Balance Sheet'!T114+'Consolidated Balance Sheet'!T115+'Consolidated Balance Sheet'!T116+'Consolidated Balance Sheet'!T117+'Consolidated Balance Sheet'!T118</f>
        <v>0</v>
      </c>
      <c r="U55" s="66"/>
      <c r="V55" s="66">
        <f>'Consolidated Balance Sheet'!V112+'Consolidated Balance Sheet'!V113+'Consolidated Balance Sheet'!V114+'Consolidated Balance Sheet'!V115+'Consolidated Balance Sheet'!V116+'Consolidated Balance Sheet'!V117+'Consolidated Balance Sheet'!V118</f>
        <v>0</v>
      </c>
      <c r="W55" s="66"/>
      <c r="X55" s="66">
        <f>'Consolidated Balance Sheet'!X112+'Consolidated Balance Sheet'!X113+'Consolidated Balance Sheet'!X114+'Consolidated Balance Sheet'!X115+'Consolidated Balance Sheet'!X116+'Consolidated Balance Sheet'!X117+'Consolidated Balance Sheet'!X118</f>
        <v>0</v>
      </c>
      <c r="Y55" s="66"/>
      <c r="Z55" s="66">
        <f>'Consolidated Balance Sheet'!Z112+'Consolidated Balance Sheet'!Z113+'Consolidated Balance Sheet'!Z114+'Consolidated Balance Sheet'!Z115+'Consolidated Balance Sheet'!Z116+'Consolidated Balance Sheet'!Z117+'Consolidated Balance Sheet'!Z118</f>
        <v>0</v>
      </c>
      <c r="AA55" s="66"/>
      <c r="AB55" s="66">
        <f>'Consolidated Balance Sheet'!AB112+'Consolidated Balance Sheet'!AB113+'Consolidated Balance Sheet'!AB114+'Consolidated Balance Sheet'!AB115+'Consolidated Balance Sheet'!AB116+'Consolidated Balance Sheet'!AB117+'Consolidated Balance Sheet'!AB118</f>
        <v>0</v>
      </c>
      <c r="AC55" s="66"/>
      <c r="AD55" s="66">
        <f>'Consolidated Balance Sheet'!AD112+'Consolidated Balance Sheet'!AD113+'Consolidated Balance Sheet'!AD114+'Consolidated Balance Sheet'!AD115+'Consolidated Balance Sheet'!AD116+'Consolidated Balance Sheet'!AD117+'Consolidated Balance Sheet'!AD118</f>
        <v>0</v>
      </c>
      <c r="AE55" s="66"/>
      <c r="AF55" s="66">
        <f>SUM(R55:AD55)</f>
        <v>0</v>
      </c>
      <c r="AG55" s="54" t="s">
        <v>329</v>
      </c>
      <c r="AH55" s="63">
        <f>P55</f>
        <v>-63000</v>
      </c>
      <c r="AI55" s="63"/>
      <c r="AJ55" s="63">
        <f>AF55</f>
        <v>0</v>
      </c>
      <c r="AK55" s="63"/>
      <c r="AL55" s="63">
        <f>AH55-AJ55</f>
        <v>-63000</v>
      </c>
      <c r="AM55" s="63"/>
      <c r="AN55" s="59" t="e">
        <f t="shared" si="18"/>
        <v>#DIV/0!</v>
      </c>
      <c r="AO55" s="59"/>
      <c r="AP55" s="60" t="e">
        <f t="shared" si="19"/>
        <v>#DIV/0!</v>
      </c>
    </row>
    <row r="56" spans="1:42" s="54" customFormat="1" ht="24.95" customHeight="1" x14ac:dyDescent="0.2">
      <c r="A56" s="84" t="s">
        <v>335</v>
      </c>
      <c r="B56" s="145">
        <f>SUM(B52:B55)</f>
        <v>12907666.240000002</v>
      </c>
      <c r="C56" s="74"/>
      <c r="D56" s="145">
        <f>SUM(D52:D55)</f>
        <v>2352798.33</v>
      </c>
      <c r="E56" s="74"/>
      <c r="F56" s="145">
        <f>SUM(F52:F55)</f>
        <v>5025565.0600000005</v>
      </c>
      <c r="G56" s="74"/>
      <c r="H56" s="145">
        <f>SUM(H52:H55)</f>
        <v>397296.13</v>
      </c>
      <c r="I56" s="74"/>
      <c r="J56" s="145">
        <f>SUM(J52:J55)</f>
        <v>-1230888.2</v>
      </c>
      <c r="K56" s="74"/>
      <c r="L56" s="145">
        <f>SUM(L52:L55)</f>
        <v>4876086.0399999991</v>
      </c>
      <c r="M56" s="74"/>
      <c r="N56" s="145">
        <f>SUM(N52:N55)</f>
        <v>2116944.4900000002</v>
      </c>
      <c r="O56" s="74"/>
      <c r="P56" s="74">
        <f>SUM(P52:P55)</f>
        <v>26445468.089999996</v>
      </c>
      <c r="Q56" s="85" t="s">
        <v>335</v>
      </c>
      <c r="R56" s="74">
        <f>SUM(R52:R55)</f>
        <v>16228032.480000002</v>
      </c>
      <c r="S56" s="74"/>
      <c r="T56" s="74">
        <f t="shared" ref="T56:AB56" si="20">SUM(T52:T55)</f>
        <v>2087186.8199999998</v>
      </c>
      <c r="U56" s="74"/>
      <c r="V56" s="74">
        <f t="shared" si="20"/>
        <v>3919137.3899999997</v>
      </c>
      <c r="W56" s="74"/>
      <c r="X56" s="74">
        <f t="shared" si="20"/>
        <v>369254.87</v>
      </c>
      <c r="Y56" s="74"/>
      <c r="Z56" s="74">
        <f t="shared" si="20"/>
        <v>-1185076.02</v>
      </c>
      <c r="AA56" s="74"/>
      <c r="AB56" s="74">
        <f t="shared" si="20"/>
        <v>5022207.51</v>
      </c>
      <c r="AC56" s="74"/>
      <c r="AD56" s="74">
        <f>SUM(AD52:AD55)</f>
        <v>2229482.02</v>
      </c>
      <c r="AE56" s="74"/>
      <c r="AF56" s="74">
        <f>SUM(AF52:AF55)</f>
        <v>28670225.07</v>
      </c>
      <c r="AG56" s="84" t="s">
        <v>335</v>
      </c>
      <c r="AH56" s="74">
        <f>SUM(AH52:AH55)</f>
        <v>26445468.089999996</v>
      </c>
      <c r="AI56" s="74"/>
      <c r="AJ56" s="74">
        <f>SUM(AJ52:AJ55)</f>
        <v>29702294.470000003</v>
      </c>
      <c r="AK56" s="74"/>
      <c r="AL56" s="74">
        <f>SUM(AL52:AL55)</f>
        <v>-3256826.3800000055</v>
      </c>
      <c r="AM56" s="77"/>
      <c r="AN56" s="59">
        <f t="shared" si="18"/>
        <v>0.89035101704720232</v>
      </c>
      <c r="AO56" s="59"/>
      <c r="AP56" s="60">
        <f t="shared" si="19"/>
        <v>-0.10964898295279768</v>
      </c>
    </row>
    <row r="57" spans="1:42" s="54" customFormat="1" ht="24.95" customHeight="1" x14ac:dyDescent="0.2">
      <c r="B57" s="142"/>
      <c r="C57" s="56"/>
      <c r="D57" s="142"/>
      <c r="E57" s="56"/>
      <c r="F57" s="142"/>
      <c r="G57" s="56"/>
      <c r="H57" s="141"/>
      <c r="I57" s="51"/>
      <c r="J57" s="141"/>
      <c r="K57" s="51"/>
      <c r="L57" s="141"/>
      <c r="M57" s="51"/>
      <c r="N57" s="141"/>
      <c r="O57" s="51"/>
      <c r="P57" s="52"/>
      <c r="Q57" s="51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N57" s="59"/>
      <c r="AO57" s="59"/>
      <c r="AP57" s="72"/>
    </row>
    <row r="58" spans="1:42" s="54" customFormat="1" ht="24.95" customHeight="1" thickBot="1" x14ac:dyDescent="0.25">
      <c r="A58" s="50" t="s">
        <v>337</v>
      </c>
      <c r="B58" s="146">
        <f>SUM(B56,B47,B42)</f>
        <v>38302202.300000004</v>
      </c>
      <c r="C58" s="79"/>
      <c r="D58" s="146">
        <f>SUM(D56,D47,D42)</f>
        <v>4602770.99</v>
      </c>
      <c r="E58" s="79"/>
      <c r="F58" s="146">
        <f>SUM(F56,F47,F42)</f>
        <v>5366978.07</v>
      </c>
      <c r="G58" s="79"/>
      <c r="H58" s="146">
        <f>SUM(H56,H47,H42)</f>
        <v>704352.02</v>
      </c>
      <c r="I58" s="79"/>
      <c r="J58" s="146">
        <f>SUM(J56,J47,J42)</f>
        <v>2022212.1700000004</v>
      </c>
      <c r="K58" s="79"/>
      <c r="L58" s="146">
        <f>SUM(L56,L47,L42)</f>
        <v>5215473.6899999995</v>
      </c>
      <c r="M58" s="79"/>
      <c r="N58" s="146">
        <f>SUM(N56,N47,N42)</f>
        <v>8252511.7400000002</v>
      </c>
      <c r="O58" s="79"/>
      <c r="P58" s="79">
        <f>SUM(P56,P47,P42)</f>
        <v>64466500.980000004</v>
      </c>
      <c r="Q58" s="53" t="s">
        <v>337</v>
      </c>
      <c r="R58" s="79">
        <f>SUM(R56,R47,R42)</f>
        <v>32698959.460000001</v>
      </c>
      <c r="S58" s="79"/>
      <c r="T58" s="79">
        <f>SUM(T56,T47,T42)</f>
        <v>2867253.09</v>
      </c>
      <c r="U58" s="79"/>
      <c r="V58" s="79">
        <f>SUM(V56,V47,V42)</f>
        <v>3941017.2299999995</v>
      </c>
      <c r="W58" s="79"/>
      <c r="X58" s="79">
        <f>SUM(X56,X47,X42)</f>
        <v>1922633.5099999998</v>
      </c>
      <c r="Y58" s="79"/>
      <c r="Z58" s="79">
        <f>SUM(Z56,Z47,Z42)</f>
        <v>2062146.88</v>
      </c>
      <c r="AA58" s="79"/>
      <c r="AB58" s="79">
        <f>SUM(AB56,AB47,AB42)</f>
        <v>5345853.6899999995</v>
      </c>
      <c r="AC58" s="79"/>
      <c r="AD58" s="79">
        <f>SUM(AD56,AD47,AD42)</f>
        <v>8021368.0700000003</v>
      </c>
      <c r="AE58" s="79"/>
      <c r="AF58" s="79">
        <f>SUM(AF56,AF47,AF42)</f>
        <v>56859231.930000007</v>
      </c>
      <c r="AG58" s="50" t="s">
        <v>337</v>
      </c>
      <c r="AH58" s="81">
        <f>SUM(AH56,AH47,AH42)</f>
        <v>64466500.980000004</v>
      </c>
      <c r="AI58" s="81"/>
      <c r="AJ58" s="81">
        <f>SUM(AJ56,AJ47,AJ42)</f>
        <v>57891301.330000006</v>
      </c>
      <c r="AK58" s="81"/>
      <c r="AL58" s="81">
        <f>SUM(AL56,AL47,AL42)</f>
        <v>6575199.6499999939</v>
      </c>
      <c r="AM58" s="82"/>
      <c r="AN58" s="59">
        <f t="shared" si="18"/>
        <v>1.1135783701340403</v>
      </c>
      <c r="AO58" s="59"/>
      <c r="AP58" s="60">
        <f t="shared" si="19"/>
        <v>0.11357837013404026</v>
      </c>
    </row>
    <row r="59" spans="1:42" ht="15.75" thickTop="1" x14ac:dyDescent="0.2">
      <c r="B59" s="147">
        <f>B58-CNT!U129</f>
        <v>0</v>
      </c>
      <c r="C59" s="48"/>
      <c r="D59" s="147">
        <f>D58-D29</f>
        <v>0</v>
      </c>
      <c r="E59" s="48"/>
      <c r="F59" s="147">
        <f>F58-F29</f>
        <v>0</v>
      </c>
      <c r="G59" s="48"/>
      <c r="H59" s="147">
        <f>H58-H29</f>
        <v>0</v>
      </c>
      <c r="I59" s="48"/>
      <c r="J59" s="147">
        <f>J58-J29</f>
        <v>0</v>
      </c>
      <c r="K59" s="48"/>
      <c r="L59" s="147">
        <f>L58-L29</f>
        <v>0</v>
      </c>
      <c r="M59" s="48"/>
      <c r="N59" s="147">
        <f>N58-N29</f>
        <v>0</v>
      </c>
      <c r="O59" s="48"/>
      <c r="P59" s="48">
        <f>P58-P29</f>
        <v>-5.9604644775390625E-8</v>
      </c>
      <c r="R59" s="48">
        <f>R58-R29</f>
        <v>0</v>
      </c>
      <c r="S59" s="48"/>
      <c r="T59" s="48">
        <f>T58-T29</f>
        <v>0</v>
      </c>
      <c r="U59" s="48"/>
      <c r="V59" s="48">
        <f>V58-V29</f>
        <v>0</v>
      </c>
      <c r="W59" s="48"/>
      <c r="X59" s="48">
        <f>X58-X29</f>
        <v>0</v>
      </c>
      <c r="Y59" s="48"/>
      <c r="Z59" s="48">
        <f>Z58-Z29</f>
        <v>0</v>
      </c>
      <c r="AA59" s="48"/>
      <c r="AB59" s="48">
        <f>AB58-AB29</f>
        <v>0</v>
      </c>
      <c r="AC59" s="48"/>
      <c r="AD59" s="48">
        <f>AD58-AD29</f>
        <v>0</v>
      </c>
      <c r="AE59" s="48"/>
      <c r="AF59" s="48">
        <f>AF58-AF29</f>
        <v>0</v>
      </c>
      <c r="AG59" s="8"/>
      <c r="AH59" s="8">
        <f>AH58-AH29</f>
        <v>-5.9604644775390625E-8</v>
      </c>
      <c r="AI59" s="8"/>
      <c r="AJ59" s="8">
        <f>AJ58-AJ29</f>
        <v>1032069.4000000134</v>
      </c>
      <c r="AK59" s="8"/>
      <c r="AL59" s="8">
        <f>AL58-AL29</f>
        <v>-1032069.4000000609</v>
      </c>
      <c r="AM59" s="8"/>
      <c r="AN59" s="23">
        <f>AN58-AN29</f>
        <v>-2.0212903363383328E-2</v>
      </c>
      <c r="AO59" s="8"/>
      <c r="AP59" s="8">
        <f>AP58-AP29</f>
        <v>-2.0212903363383328E-2</v>
      </c>
    </row>
    <row r="60" spans="1:42" x14ac:dyDescent="0.2">
      <c r="B60" s="147"/>
      <c r="C60" s="48"/>
      <c r="D60" s="147"/>
      <c r="E60" s="48"/>
      <c r="F60" s="147"/>
      <c r="G60" s="48"/>
      <c r="AD60" s="104"/>
    </row>
    <row r="61" spans="1:42" x14ac:dyDescent="0.2">
      <c r="AD61" s="104"/>
      <c r="AL61" s="123">
        <f>AL58-'Consolidated Balance Sheet'!AL121</f>
        <v>-1032069.4000000032</v>
      </c>
    </row>
    <row r="62" spans="1:42" x14ac:dyDescent="0.2">
      <c r="B62" s="152">
        <f>B58-'Consolidated Balance Sheet'!B121</f>
        <v>0</v>
      </c>
      <c r="C62" s="49">
        <f>C58-'Consolidated Balance Sheet'!C121</f>
        <v>0</v>
      </c>
      <c r="D62" s="152">
        <f>D58-'Consolidated Balance Sheet'!D121</f>
        <v>0</v>
      </c>
      <c r="E62" s="49">
        <f>E58-'Consolidated Balance Sheet'!E121</f>
        <v>0</v>
      </c>
      <c r="F62" s="152">
        <f>F58-'Consolidated Balance Sheet'!F121</f>
        <v>0</v>
      </c>
      <c r="G62" s="49">
        <f>G58-'Consolidated Balance Sheet'!G121</f>
        <v>0</v>
      </c>
      <c r="H62" s="152">
        <f>H58-'Consolidated Balance Sheet'!H121</f>
        <v>0</v>
      </c>
      <c r="I62" s="49">
        <f>I58-'Consolidated Balance Sheet'!I121</f>
        <v>0</v>
      </c>
      <c r="J62" s="152">
        <f>J58-'Consolidated Balance Sheet'!J121</f>
        <v>0</v>
      </c>
      <c r="K62" s="49">
        <f>K58-'Consolidated Balance Sheet'!K121</f>
        <v>0</v>
      </c>
      <c r="L62" s="152">
        <f>L58-'Consolidated Balance Sheet'!L121</f>
        <v>0</v>
      </c>
      <c r="M62" s="49">
        <f>M58-'Consolidated Balance Sheet'!O121</f>
        <v>0</v>
      </c>
      <c r="N62" s="152">
        <f>N58-'Consolidated Balance Sheet'!N121</f>
        <v>0</v>
      </c>
      <c r="O62" s="49"/>
      <c r="P62" s="49">
        <f>P58-'Consolidated Balance Sheet'!P121</f>
        <v>0</v>
      </c>
      <c r="AF62" s="104">
        <f>AF58-'Consolidated Balance Sheet'!AF121</f>
        <v>0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29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outlinePr summaryBelow="0"/>
    <pageSetUpPr autoPageBreaks="0"/>
  </sheetPr>
  <dimension ref="A1:X112"/>
  <sheetViews>
    <sheetView showGridLines="0" topLeftCell="A71" workbookViewId="0">
      <selection activeCell="AF119" sqref="AF119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3.140625" bestFit="1" customWidth="1"/>
    <col min="20" max="20" width="2.28515625" customWidth="1"/>
    <col min="21" max="21" width="1.28515625" customWidth="1"/>
    <col min="22" max="22" width="7.28515625" customWidth="1"/>
    <col min="23" max="23" width="3.140625" customWidth="1"/>
    <col min="24" max="24" width="1.28515625" customWidth="1"/>
  </cols>
  <sheetData>
    <row r="1" spans="1:24" ht="12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</row>
    <row r="2" spans="1:24" ht="12" customHeight="1" x14ac:dyDescent="0.2"/>
    <row r="3" spans="1:24" ht="12" customHeight="1" x14ac:dyDescent="0.2">
      <c r="A3" s="169" t="s">
        <v>586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</row>
    <row r="4" spans="1:24" ht="12" customHeight="1" x14ac:dyDescent="0.2">
      <c r="A4" s="170" t="s">
        <v>1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</row>
    <row r="5" spans="1:24" ht="12" customHeight="1" x14ac:dyDescent="0.2"/>
    <row r="6" spans="1:24" ht="12" customHeight="1" x14ac:dyDescent="0.2"/>
    <row r="7" spans="1:24" ht="12" customHeight="1" x14ac:dyDescent="0.2">
      <c r="A7" s="162" t="s">
        <v>2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</row>
    <row r="8" spans="1:24" ht="12" customHeight="1" x14ac:dyDescent="0.2">
      <c r="B8" s="162" t="s">
        <v>3</v>
      </c>
      <c r="C8" s="162"/>
      <c r="D8" s="162"/>
      <c r="E8" s="162"/>
      <c r="F8" s="162"/>
      <c r="G8" s="162"/>
      <c r="H8" s="162"/>
      <c r="I8" s="162"/>
      <c r="J8" s="162"/>
      <c r="K8" s="162"/>
    </row>
    <row r="9" spans="1:24" ht="12" customHeight="1" x14ac:dyDescent="0.2">
      <c r="S9">
        <v>0</v>
      </c>
    </row>
    <row r="10" spans="1:24" ht="12" customHeight="1" x14ac:dyDescent="0.2">
      <c r="C10" s="161" t="s">
        <v>217</v>
      </c>
      <c r="D10" s="161"/>
      <c r="E10" s="161"/>
      <c r="F10" s="161"/>
      <c r="H10" s="161" t="s">
        <v>218</v>
      </c>
      <c r="I10" s="161"/>
      <c r="J10" s="161"/>
      <c r="K10" s="161"/>
      <c r="L10" s="161"/>
      <c r="M10" s="161"/>
      <c r="N10" s="161"/>
      <c r="O10" s="161"/>
      <c r="P10" s="161"/>
      <c r="Q10" s="161"/>
      <c r="S10" s="1">
        <v>0</v>
      </c>
    </row>
    <row r="11" spans="1:24" ht="12" customHeight="1" x14ac:dyDescent="0.2">
      <c r="C11" s="161" t="s">
        <v>4</v>
      </c>
      <c r="D11" s="161"/>
      <c r="E11" s="161"/>
      <c r="F11" s="161"/>
      <c r="H11" s="161" t="s">
        <v>5</v>
      </c>
      <c r="I11" s="161"/>
      <c r="J11" s="161"/>
      <c r="K11" s="161"/>
      <c r="L11" s="161"/>
      <c r="M11" s="161"/>
      <c r="N11" s="161"/>
      <c r="O11" s="161"/>
      <c r="P11" s="161"/>
      <c r="Q11" s="161"/>
      <c r="S11" s="1">
        <v>490</v>
      </c>
    </row>
    <row r="12" spans="1:24" ht="12" customHeight="1" x14ac:dyDescent="0.2">
      <c r="C12" s="161" t="s">
        <v>6</v>
      </c>
      <c r="D12" s="161"/>
      <c r="E12" s="161"/>
      <c r="F12" s="161"/>
      <c r="H12" s="161" t="s">
        <v>7</v>
      </c>
      <c r="I12" s="161"/>
      <c r="J12" s="161"/>
      <c r="K12" s="161"/>
      <c r="L12" s="161"/>
      <c r="M12" s="161"/>
      <c r="N12" s="161"/>
      <c r="O12" s="161"/>
      <c r="P12" s="161"/>
      <c r="Q12" s="161"/>
      <c r="S12" s="1">
        <v>-397172.99</v>
      </c>
    </row>
    <row r="13" spans="1:24" ht="12" customHeight="1" x14ac:dyDescent="0.2">
      <c r="C13" s="161" t="s">
        <v>8</v>
      </c>
      <c r="D13" s="161"/>
      <c r="E13" s="161"/>
      <c r="F13" s="161"/>
      <c r="H13" s="161" t="s">
        <v>9</v>
      </c>
      <c r="I13" s="161"/>
      <c r="J13" s="161"/>
      <c r="K13" s="161"/>
      <c r="L13" s="161"/>
      <c r="M13" s="161"/>
      <c r="N13" s="161"/>
      <c r="O13" s="161"/>
      <c r="P13" s="161"/>
      <c r="Q13" s="161"/>
      <c r="S13" s="1">
        <v>6353038.7000000002</v>
      </c>
    </row>
    <row r="14" spans="1:24" ht="12" customHeight="1" x14ac:dyDescent="0.2">
      <c r="C14" s="161" t="s">
        <v>12</v>
      </c>
      <c r="D14" s="161"/>
      <c r="E14" s="161"/>
      <c r="F14" s="161"/>
      <c r="H14" s="161" t="s">
        <v>13</v>
      </c>
      <c r="I14" s="161"/>
      <c r="J14" s="161"/>
      <c r="K14" s="161"/>
      <c r="L14" s="161"/>
      <c r="M14" s="161"/>
      <c r="N14" s="161"/>
      <c r="O14" s="161"/>
      <c r="P14" s="161"/>
      <c r="Q14" s="161"/>
      <c r="S14" s="1">
        <v>66109.070000000007</v>
      </c>
    </row>
    <row r="15" spans="1:24" ht="12" customHeight="1" x14ac:dyDescent="0.2">
      <c r="C15" s="161" t="s">
        <v>14</v>
      </c>
      <c r="D15" s="161"/>
      <c r="E15" s="161"/>
      <c r="F15" s="161"/>
      <c r="H15" s="161" t="s">
        <v>15</v>
      </c>
      <c r="I15" s="161"/>
      <c r="J15" s="161"/>
      <c r="K15" s="161"/>
      <c r="L15" s="161"/>
      <c r="M15" s="161"/>
      <c r="N15" s="161"/>
      <c r="O15" s="161"/>
      <c r="P15" s="161"/>
      <c r="Q15" s="161"/>
      <c r="S15" s="1">
        <v>291406.24</v>
      </c>
    </row>
    <row r="16" spans="1:24" ht="12" customHeight="1" x14ac:dyDescent="0.2">
      <c r="C16" s="161" t="s">
        <v>16</v>
      </c>
      <c r="D16" s="161"/>
      <c r="E16" s="161"/>
      <c r="F16" s="161"/>
      <c r="H16" s="161" t="s">
        <v>17</v>
      </c>
      <c r="I16" s="161"/>
      <c r="J16" s="161"/>
      <c r="K16" s="161"/>
      <c r="L16" s="161"/>
      <c r="M16" s="161"/>
      <c r="N16" s="161"/>
      <c r="O16" s="161"/>
      <c r="P16" s="161"/>
      <c r="Q16" s="161"/>
      <c r="S16" s="1">
        <v>7379476.4100000001</v>
      </c>
    </row>
    <row r="17" spans="3:19" ht="12" customHeight="1" x14ac:dyDescent="0.2">
      <c r="C17" s="161" t="s">
        <v>18</v>
      </c>
      <c r="D17" s="161"/>
      <c r="E17" s="161"/>
      <c r="F17" s="161"/>
      <c r="H17" s="161" t="s">
        <v>19</v>
      </c>
      <c r="I17" s="161"/>
      <c r="J17" s="161"/>
      <c r="K17" s="161"/>
      <c r="L17" s="161"/>
      <c r="M17" s="161"/>
      <c r="N17" s="161"/>
      <c r="O17" s="161"/>
      <c r="P17" s="161"/>
      <c r="Q17" s="161"/>
      <c r="S17" s="1">
        <v>89226370.209999993</v>
      </c>
    </row>
    <row r="18" spans="3:19" ht="12" customHeight="1" x14ac:dyDescent="0.2">
      <c r="C18" s="161" t="s">
        <v>20</v>
      </c>
      <c r="D18" s="161"/>
      <c r="E18" s="161"/>
      <c r="F18" s="161"/>
      <c r="H18" s="161" t="s">
        <v>21</v>
      </c>
      <c r="I18" s="161"/>
      <c r="J18" s="161"/>
      <c r="K18" s="161"/>
      <c r="L18" s="161"/>
      <c r="M18" s="161"/>
      <c r="N18" s="161"/>
      <c r="O18" s="161"/>
      <c r="P18" s="161"/>
      <c r="Q18" s="161"/>
      <c r="S18" s="1">
        <v>77850163.879999995</v>
      </c>
    </row>
    <row r="19" spans="3:19" ht="12" customHeight="1" x14ac:dyDescent="0.2">
      <c r="C19" s="161" t="s">
        <v>22</v>
      </c>
      <c r="D19" s="161"/>
      <c r="E19" s="161"/>
      <c r="F19" s="161"/>
      <c r="H19" s="161" t="s">
        <v>23</v>
      </c>
      <c r="I19" s="161"/>
      <c r="J19" s="161"/>
      <c r="K19" s="161"/>
      <c r="L19" s="161"/>
      <c r="M19" s="161"/>
      <c r="N19" s="161"/>
      <c r="O19" s="161"/>
      <c r="P19" s="161"/>
      <c r="Q19" s="161"/>
      <c r="S19" s="1">
        <v>3139329.88</v>
      </c>
    </row>
    <row r="20" spans="3:19" ht="12" customHeight="1" x14ac:dyDescent="0.2">
      <c r="C20" s="161" t="s">
        <v>24</v>
      </c>
      <c r="D20" s="161"/>
      <c r="E20" s="161"/>
      <c r="F20" s="161"/>
      <c r="H20" s="161" t="s">
        <v>25</v>
      </c>
      <c r="I20" s="161"/>
      <c r="J20" s="161"/>
      <c r="K20" s="161"/>
      <c r="L20" s="161"/>
      <c r="M20" s="161"/>
      <c r="N20" s="161"/>
      <c r="O20" s="161"/>
      <c r="P20" s="161"/>
      <c r="Q20" s="161"/>
      <c r="S20" s="1">
        <v>2118206.7799999998</v>
      </c>
    </row>
    <row r="21" spans="3:19" ht="12" customHeight="1" x14ac:dyDescent="0.2">
      <c r="C21" s="161" t="s">
        <v>26</v>
      </c>
      <c r="D21" s="161"/>
      <c r="E21" s="161"/>
      <c r="F21" s="161"/>
      <c r="H21" s="161" t="s">
        <v>27</v>
      </c>
      <c r="I21" s="161"/>
      <c r="J21" s="161"/>
      <c r="K21" s="161"/>
      <c r="L21" s="161"/>
      <c r="M21" s="161"/>
      <c r="N21" s="161"/>
      <c r="O21" s="161"/>
      <c r="P21" s="161"/>
      <c r="Q21" s="161"/>
      <c r="S21" s="1">
        <v>2686.77</v>
      </c>
    </row>
    <row r="22" spans="3:19" ht="12" customHeight="1" x14ac:dyDescent="0.2">
      <c r="C22" s="161" t="s">
        <v>28</v>
      </c>
      <c r="D22" s="161"/>
      <c r="E22" s="161"/>
      <c r="F22" s="161"/>
      <c r="H22" s="161" t="s">
        <v>29</v>
      </c>
      <c r="I22" s="161"/>
      <c r="J22" s="161"/>
      <c r="K22" s="161"/>
      <c r="L22" s="161"/>
      <c r="M22" s="161"/>
      <c r="N22" s="161"/>
      <c r="O22" s="161"/>
      <c r="P22" s="161"/>
      <c r="Q22" s="161"/>
      <c r="S22" s="1">
        <v>1661611.65</v>
      </c>
    </row>
    <row r="23" spans="3:19" ht="12" customHeight="1" x14ac:dyDescent="0.2">
      <c r="C23" s="161" t="s">
        <v>30</v>
      </c>
      <c r="D23" s="161"/>
      <c r="E23" s="161"/>
      <c r="F23" s="161"/>
      <c r="H23" s="161" t="s">
        <v>31</v>
      </c>
      <c r="I23" s="161"/>
      <c r="J23" s="161"/>
      <c r="K23" s="161"/>
      <c r="L23" s="161"/>
      <c r="M23" s="161"/>
      <c r="N23" s="161"/>
      <c r="O23" s="161"/>
      <c r="P23" s="161"/>
      <c r="Q23" s="161"/>
      <c r="S23" s="1">
        <v>12163.43</v>
      </c>
    </row>
    <row r="24" spans="3:19" ht="12" customHeight="1" x14ac:dyDescent="0.2">
      <c r="C24" s="161" t="s">
        <v>32</v>
      </c>
      <c r="D24" s="161"/>
      <c r="E24" s="161"/>
      <c r="F24" s="161"/>
      <c r="H24" s="161" t="s">
        <v>33</v>
      </c>
      <c r="I24" s="161"/>
      <c r="J24" s="161"/>
      <c r="K24" s="161"/>
      <c r="L24" s="161"/>
      <c r="M24" s="161"/>
      <c r="N24" s="161"/>
      <c r="O24" s="161"/>
      <c r="P24" s="161"/>
      <c r="Q24" s="161"/>
      <c r="S24" s="1">
        <v>-19230214.920000002</v>
      </c>
    </row>
    <row r="25" spans="3:19" ht="12" customHeight="1" x14ac:dyDescent="0.2">
      <c r="C25" s="161" t="s">
        <v>34</v>
      </c>
      <c r="D25" s="161"/>
      <c r="E25" s="161"/>
      <c r="F25" s="161"/>
      <c r="H25" s="161" t="s">
        <v>35</v>
      </c>
      <c r="I25" s="161"/>
      <c r="J25" s="161"/>
      <c r="K25" s="161"/>
      <c r="L25" s="161"/>
      <c r="M25" s="161"/>
      <c r="N25" s="161"/>
      <c r="O25" s="161"/>
      <c r="P25" s="161"/>
      <c r="Q25" s="161"/>
      <c r="S25" s="1">
        <v>-146039550.5</v>
      </c>
    </row>
    <row r="26" spans="3:19" ht="12" customHeight="1" x14ac:dyDescent="0.2">
      <c r="C26" s="161" t="s">
        <v>36</v>
      </c>
      <c r="D26" s="161"/>
      <c r="E26" s="161"/>
      <c r="F26" s="161"/>
      <c r="H26" s="161" t="s">
        <v>37</v>
      </c>
      <c r="I26" s="161"/>
      <c r="J26" s="161"/>
      <c r="K26" s="161"/>
      <c r="L26" s="161"/>
      <c r="M26" s="161"/>
      <c r="N26" s="161"/>
      <c r="O26" s="161"/>
      <c r="P26" s="161"/>
      <c r="Q26" s="161"/>
      <c r="S26" s="1">
        <v>-15809754.970000001</v>
      </c>
    </row>
    <row r="27" spans="3:19" ht="12" customHeight="1" x14ac:dyDescent="0.2">
      <c r="C27" s="161" t="s">
        <v>40</v>
      </c>
      <c r="D27" s="161"/>
      <c r="E27" s="161"/>
      <c r="F27" s="161"/>
      <c r="H27" s="161" t="s">
        <v>41</v>
      </c>
      <c r="I27" s="161"/>
      <c r="J27" s="161"/>
      <c r="K27" s="161"/>
      <c r="L27" s="161"/>
      <c r="M27" s="161"/>
      <c r="N27" s="161"/>
      <c r="O27" s="161"/>
      <c r="P27" s="161"/>
      <c r="Q27" s="161"/>
      <c r="S27" s="1">
        <v>2149.84</v>
      </c>
    </row>
    <row r="28" spans="3:19" ht="12" customHeight="1" x14ac:dyDescent="0.2">
      <c r="C28" s="24"/>
      <c r="D28" s="24">
        <v>1239</v>
      </c>
      <c r="E28" s="24"/>
      <c r="F28" s="24"/>
      <c r="H28" s="46" t="s">
        <v>532</v>
      </c>
      <c r="I28" s="24"/>
      <c r="J28" s="24"/>
      <c r="K28" s="24"/>
      <c r="L28" s="24"/>
      <c r="M28" s="24"/>
      <c r="N28" s="24"/>
      <c r="O28" s="24"/>
      <c r="P28" s="24"/>
      <c r="Q28" s="24"/>
      <c r="S28" s="1">
        <v>503.5</v>
      </c>
    </row>
    <row r="29" spans="3:19" ht="12" customHeight="1" x14ac:dyDescent="0.2">
      <c r="C29" s="161" t="s">
        <v>42</v>
      </c>
      <c r="D29" s="161"/>
      <c r="E29" s="161"/>
      <c r="F29" s="161"/>
      <c r="H29" s="161" t="s">
        <v>43</v>
      </c>
      <c r="I29" s="161"/>
      <c r="J29" s="161"/>
      <c r="K29" s="161"/>
      <c r="L29" s="161"/>
      <c r="M29" s="161"/>
      <c r="N29" s="161"/>
      <c r="O29" s="161"/>
      <c r="P29" s="161"/>
      <c r="Q29" s="161"/>
      <c r="S29" s="1">
        <v>0</v>
      </c>
    </row>
    <row r="30" spans="3:19" ht="12" customHeight="1" x14ac:dyDescent="0.2">
      <c r="C30" s="161" t="s">
        <v>46</v>
      </c>
      <c r="D30" s="161"/>
      <c r="E30" s="161"/>
      <c r="F30" s="161"/>
      <c r="H30" s="161" t="s">
        <v>47</v>
      </c>
      <c r="I30" s="161"/>
      <c r="J30" s="161"/>
      <c r="K30" s="161"/>
      <c r="L30" s="161"/>
      <c r="M30" s="161"/>
      <c r="N30" s="161"/>
      <c r="O30" s="161"/>
      <c r="P30" s="161"/>
      <c r="Q30" s="161"/>
      <c r="S30" s="1">
        <v>18470.169999999998</v>
      </c>
    </row>
    <row r="31" spans="3:19" ht="12" customHeight="1" x14ac:dyDescent="0.2">
      <c r="C31" s="161" t="s">
        <v>48</v>
      </c>
      <c r="D31" s="161"/>
      <c r="E31" s="161"/>
      <c r="F31" s="161"/>
      <c r="H31" s="161" t="s">
        <v>49</v>
      </c>
      <c r="I31" s="161"/>
      <c r="J31" s="161"/>
      <c r="K31" s="161"/>
      <c r="L31" s="161"/>
      <c r="M31" s="161"/>
      <c r="N31" s="161"/>
      <c r="O31" s="161"/>
      <c r="P31" s="161"/>
      <c r="Q31" s="161"/>
      <c r="S31" s="1">
        <v>187887.86</v>
      </c>
    </row>
    <row r="32" spans="3:19" ht="12" customHeight="1" x14ac:dyDescent="0.2">
      <c r="C32" s="161" t="s">
        <v>50</v>
      </c>
      <c r="D32" s="161"/>
      <c r="E32" s="161"/>
      <c r="F32" s="161"/>
      <c r="H32" s="161" t="s">
        <v>51</v>
      </c>
      <c r="I32" s="161"/>
      <c r="J32" s="161"/>
      <c r="K32" s="161"/>
      <c r="L32" s="161"/>
      <c r="M32" s="161"/>
      <c r="N32" s="161"/>
      <c r="O32" s="161"/>
      <c r="P32" s="161"/>
      <c r="Q32" s="161"/>
      <c r="S32" s="1">
        <v>7619944.8600000003</v>
      </c>
    </row>
    <row r="33" spans="2:23" ht="12" customHeight="1" x14ac:dyDescent="0.2">
      <c r="C33" s="161" t="s">
        <v>52</v>
      </c>
      <c r="D33" s="161"/>
      <c r="E33" s="161"/>
      <c r="F33" s="161"/>
      <c r="H33" s="161" t="s">
        <v>53</v>
      </c>
      <c r="I33" s="161"/>
      <c r="J33" s="161"/>
      <c r="K33" s="161"/>
      <c r="L33" s="161"/>
      <c r="M33" s="161"/>
      <c r="N33" s="161"/>
      <c r="O33" s="161"/>
      <c r="P33" s="161"/>
      <c r="Q33" s="161"/>
      <c r="S33" s="1">
        <v>122559.97</v>
      </c>
    </row>
    <row r="34" spans="2:23" ht="12" customHeight="1" x14ac:dyDescent="0.2">
      <c r="C34" s="24">
        <v>1244</v>
      </c>
      <c r="D34" s="24">
        <v>1244</v>
      </c>
      <c r="E34" s="24"/>
      <c r="F34" s="24"/>
      <c r="H34" s="46" t="s">
        <v>55</v>
      </c>
      <c r="I34" s="24"/>
      <c r="J34" s="24"/>
      <c r="K34" s="24"/>
      <c r="L34" s="24"/>
      <c r="M34" s="24"/>
      <c r="N34" s="24"/>
      <c r="O34" s="24"/>
      <c r="P34" s="24"/>
      <c r="Q34" s="24"/>
      <c r="S34" s="1">
        <v>53500</v>
      </c>
    </row>
    <row r="35" spans="2:23" ht="12" customHeight="1" x14ac:dyDescent="0.2">
      <c r="C35" s="161" t="s">
        <v>56</v>
      </c>
      <c r="D35" s="161"/>
      <c r="E35" s="161"/>
      <c r="F35" s="161"/>
      <c r="H35" s="161" t="s">
        <v>57</v>
      </c>
      <c r="I35" s="161"/>
      <c r="J35" s="161"/>
      <c r="K35" s="161"/>
      <c r="L35" s="161"/>
      <c r="M35" s="161"/>
      <c r="N35" s="161"/>
      <c r="O35" s="161"/>
      <c r="P35" s="161"/>
      <c r="Q35" s="161"/>
      <c r="S35" s="1">
        <v>86600</v>
      </c>
    </row>
    <row r="36" spans="2:23" ht="12" customHeight="1" x14ac:dyDescent="0.2">
      <c r="C36" s="161" t="s">
        <v>58</v>
      </c>
      <c r="D36" s="161"/>
      <c r="E36" s="161"/>
      <c r="F36" s="161"/>
      <c r="H36" s="161" t="s">
        <v>59</v>
      </c>
      <c r="I36" s="161"/>
      <c r="J36" s="161"/>
      <c r="K36" s="161"/>
      <c r="L36" s="161"/>
      <c r="M36" s="161"/>
      <c r="N36" s="161"/>
      <c r="O36" s="161"/>
      <c r="P36" s="161"/>
      <c r="Q36" s="161"/>
      <c r="S36" s="1">
        <v>182789</v>
      </c>
    </row>
    <row r="37" spans="2:23" ht="12" customHeight="1" x14ac:dyDescent="0.2">
      <c r="C37" s="161" t="s">
        <v>60</v>
      </c>
      <c r="D37" s="161"/>
      <c r="E37" s="161"/>
      <c r="F37" s="161"/>
      <c r="H37" s="161" t="s">
        <v>61</v>
      </c>
      <c r="I37" s="161"/>
      <c r="J37" s="161"/>
      <c r="K37" s="161"/>
      <c r="L37" s="161"/>
      <c r="M37" s="161"/>
      <c r="N37" s="161"/>
      <c r="O37" s="161"/>
      <c r="P37" s="161"/>
      <c r="Q37" s="161"/>
      <c r="S37" s="1">
        <v>1545940.77</v>
      </c>
    </row>
    <row r="38" spans="2:23" ht="12" customHeight="1" x14ac:dyDescent="0.2">
      <c r="C38" s="161" t="s">
        <v>62</v>
      </c>
      <c r="D38" s="161"/>
      <c r="E38" s="161"/>
      <c r="F38" s="161"/>
      <c r="H38" s="161" t="s">
        <v>63</v>
      </c>
      <c r="I38" s="161"/>
      <c r="J38" s="161"/>
      <c r="K38" s="161"/>
      <c r="L38" s="161"/>
      <c r="M38" s="161"/>
      <c r="N38" s="161"/>
      <c r="O38" s="161"/>
      <c r="P38" s="161"/>
      <c r="Q38" s="161"/>
      <c r="S38" s="1">
        <v>-1165302.27</v>
      </c>
    </row>
    <row r="39" spans="2:23" ht="12" customHeight="1" x14ac:dyDescent="0.2">
      <c r="C39" s="161" t="s">
        <v>64</v>
      </c>
      <c r="D39" s="161"/>
      <c r="E39" s="161"/>
      <c r="F39" s="161"/>
      <c r="H39" s="161" t="s">
        <v>65</v>
      </c>
      <c r="I39" s="161"/>
      <c r="J39" s="161"/>
      <c r="K39" s="161"/>
      <c r="L39" s="161"/>
      <c r="M39" s="161"/>
      <c r="N39" s="161"/>
      <c r="O39" s="161"/>
      <c r="P39" s="161"/>
      <c r="Q39" s="161"/>
      <c r="S39" s="1">
        <v>5674343.5899999999</v>
      </c>
    </row>
    <row r="40" spans="2:23" ht="12" customHeight="1" x14ac:dyDescent="0.2">
      <c r="C40" s="161" t="s">
        <v>68</v>
      </c>
      <c r="D40" s="161"/>
      <c r="E40" s="161"/>
      <c r="F40" s="161"/>
      <c r="H40" s="161" t="s">
        <v>69</v>
      </c>
      <c r="I40" s="161"/>
      <c r="J40" s="161"/>
      <c r="K40" s="161"/>
      <c r="L40" s="161"/>
      <c r="M40" s="161"/>
      <c r="N40" s="161"/>
      <c r="O40" s="161"/>
      <c r="P40" s="161"/>
      <c r="Q40" s="161"/>
      <c r="S40" s="2">
        <v>1535257.45</v>
      </c>
    </row>
    <row r="41" spans="2:23" ht="12" customHeight="1" x14ac:dyDescent="0.2">
      <c r="H41" s="162" t="s">
        <v>73</v>
      </c>
      <c r="I41" s="162"/>
      <c r="J41" s="162"/>
      <c r="K41" s="162"/>
      <c r="L41" s="162"/>
      <c r="M41" s="162"/>
      <c r="N41" s="162"/>
      <c r="O41" s="162"/>
      <c r="P41" s="162"/>
      <c r="U41" s="163">
        <f>SUM(S10:S40)</f>
        <v>22489004.380000014</v>
      </c>
      <c r="V41" s="163"/>
      <c r="W41" s="163"/>
    </row>
    <row r="42" spans="2:23" ht="12" customHeight="1" x14ac:dyDescent="0.2"/>
    <row r="43" spans="2:23" ht="12" customHeight="1" x14ac:dyDescent="0.2">
      <c r="B43" s="162" t="s">
        <v>74</v>
      </c>
      <c r="C43" s="162"/>
      <c r="D43" s="162"/>
      <c r="E43" s="162"/>
      <c r="F43" s="162"/>
      <c r="G43" s="162"/>
      <c r="H43" s="162"/>
      <c r="I43" s="162"/>
      <c r="J43" s="162"/>
      <c r="K43" s="162"/>
    </row>
    <row r="44" spans="2:23" ht="12" customHeight="1" x14ac:dyDescent="0.2">
      <c r="C44" s="161" t="s">
        <v>75</v>
      </c>
      <c r="D44" s="161"/>
      <c r="E44" s="161"/>
      <c r="F44" s="161"/>
      <c r="H44" s="161" t="s">
        <v>76</v>
      </c>
      <c r="I44" s="161"/>
      <c r="J44" s="161"/>
      <c r="K44" s="161"/>
      <c r="L44" s="161"/>
      <c r="M44" s="161"/>
      <c r="N44" s="161"/>
      <c r="O44" s="161"/>
      <c r="P44" s="161"/>
      <c r="Q44" s="161"/>
      <c r="S44" s="1">
        <v>1112362.45</v>
      </c>
    </row>
    <row r="45" spans="2:23" ht="12" customHeight="1" x14ac:dyDescent="0.2">
      <c r="C45" s="161" t="s">
        <v>77</v>
      </c>
      <c r="D45" s="161"/>
      <c r="E45" s="161"/>
      <c r="F45" s="161"/>
      <c r="H45" s="161" t="s">
        <v>78</v>
      </c>
      <c r="I45" s="161"/>
      <c r="J45" s="161"/>
      <c r="K45" s="161"/>
      <c r="L45" s="161"/>
      <c r="M45" s="161"/>
      <c r="N45" s="161"/>
      <c r="O45" s="161"/>
      <c r="P45" s="161"/>
      <c r="Q45" s="161"/>
      <c r="S45" s="1">
        <v>45071.88</v>
      </c>
    </row>
    <row r="46" spans="2:23" ht="12" customHeight="1" x14ac:dyDescent="0.2">
      <c r="C46" s="161" t="s">
        <v>79</v>
      </c>
      <c r="D46" s="161"/>
      <c r="E46" s="161"/>
      <c r="F46" s="161"/>
      <c r="H46" s="161" t="s">
        <v>80</v>
      </c>
      <c r="I46" s="161"/>
      <c r="J46" s="161"/>
      <c r="K46" s="161"/>
      <c r="L46" s="161"/>
      <c r="M46" s="161"/>
      <c r="N46" s="161"/>
      <c r="O46" s="161"/>
      <c r="P46" s="161"/>
      <c r="Q46" s="161"/>
      <c r="S46" s="1">
        <v>715632.48</v>
      </c>
    </row>
    <row r="47" spans="2:23" ht="12" customHeight="1" x14ac:dyDescent="0.2">
      <c r="C47" s="161" t="s">
        <v>81</v>
      </c>
      <c r="D47" s="161"/>
      <c r="E47" s="161"/>
      <c r="F47" s="161"/>
      <c r="H47" s="161" t="s">
        <v>82</v>
      </c>
      <c r="I47" s="161"/>
      <c r="J47" s="161"/>
      <c r="K47" s="161"/>
      <c r="L47" s="161"/>
      <c r="M47" s="161"/>
      <c r="N47" s="161"/>
      <c r="O47" s="161"/>
      <c r="P47" s="161"/>
      <c r="Q47" s="161"/>
      <c r="S47" s="1">
        <v>4567600.49</v>
      </c>
    </row>
    <row r="48" spans="2:23" ht="12" customHeight="1" x14ac:dyDescent="0.2">
      <c r="C48" s="161" t="s">
        <v>83</v>
      </c>
      <c r="D48" s="161"/>
      <c r="E48" s="161"/>
      <c r="F48" s="161"/>
      <c r="H48" s="161" t="s">
        <v>84</v>
      </c>
      <c r="I48" s="161"/>
      <c r="J48" s="161"/>
      <c r="K48" s="161"/>
      <c r="L48" s="161"/>
      <c r="M48" s="161"/>
      <c r="N48" s="161"/>
      <c r="O48" s="161"/>
      <c r="P48" s="161"/>
      <c r="Q48" s="161"/>
      <c r="S48" s="1">
        <v>460539.38</v>
      </c>
    </row>
    <row r="49" spans="2:23" ht="12" customHeight="1" x14ac:dyDescent="0.2">
      <c r="C49" s="161" t="s">
        <v>85</v>
      </c>
      <c r="D49" s="161"/>
      <c r="E49" s="161"/>
      <c r="F49" s="161"/>
      <c r="H49" s="161" t="s">
        <v>86</v>
      </c>
      <c r="I49" s="161"/>
      <c r="J49" s="161"/>
      <c r="K49" s="161"/>
      <c r="L49" s="161"/>
      <c r="M49" s="161"/>
      <c r="N49" s="161"/>
      <c r="O49" s="161"/>
      <c r="P49" s="161"/>
      <c r="Q49" s="161"/>
      <c r="S49" s="1">
        <v>60000</v>
      </c>
    </row>
    <row r="50" spans="2:23" ht="12" customHeight="1" x14ac:dyDescent="0.2">
      <c r="C50" s="161" t="s">
        <v>87</v>
      </c>
      <c r="D50" s="161"/>
      <c r="E50" s="161"/>
      <c r="F50" s="161"/>
      <c r="H50" s="161" t="s">
        <v>88</v>
      </c>
      <c r="I50" s="161"/>
      <c r="J50" s="161"/>
      <c r="K50" s="161"/>
      <c r="L50" s="161"/>
      <c r="M50" s="161"/>
      <c r="N50" s="161"/>
      <c r="O50" s="161"/>
      <c r="P50" s="161"/>
      <c r="Q50" s="161"/>
      <c r="S50" s="1">
        <v>3085394.68</v>
      </c>
    </row>
    <row r="51" spans="2:23" ht="12" customHeight="1" x14ac:dyDescent="0.2">
      <c r="C51" s="161" t="s">
        <v>89</v>
      </c>
      <c r="D51" s="161"/>
      <c r="E51" s="161"/>
      <c r="F51" s="161"/>
      <c r="H51" s="161" t="s">
        <v>90</v>
      </c>
      <c r="I51" s="161"/>
      <c r="J51" s="161"/>
      <c r="K51" s="161"/>
      <c r="L51" s="161"/>
      <c r="M51" s="161"/>
      <c r="N51" s="161"/>
      <c r="O51" s="161"/>
      <c r="P51" s="161"/>
      <c r="Q51" s="161"/>
      <c r="S51" s="1">
        <v>11428.88</v>
      </c>
    </row>
    <row r="52" spans="2:23" ht="12" customHeight="1" x14ac:dyDescent="0.2">
      <c r="C52" s="161" t="s">
        <v>91</v>
      </c>
      <c r="D52" s="161"/>
      <c r="E52" s="161"/>
      <c r="F52" s="161"/>
      <c r="H52" s="161" t="s">
        <v>92</v>
      </c>
      <c r="I52" s="161"/>
      <c r="J52" s="161"/>
      <c r="K52" s="161"/>
      <c r="L52" s="161"/>
      <c r="M52" s="161"/>
      <c r="N52" s="161"/>
      <c r="O52" s="161"/>
      <c r="P52" s="161"/>
      <c r="Q52" s="161"/>
      <c r="S52" s="1">
        <v>205633.94</v>
      </c>
    </row>
    <row r="53" spans="2:23" ht="12" customHeight="1" x14ac:dyDescent="0.2">
      <c r="C53" s="161" t="s">
        <v>93</v>
      </c>
      <c r="D53" s="161"/>
      <c r="E53" s="161"/>
      <c r="F53" s="161"/>
      <c r="H53" s="161" t="s">
        <v>94</v>
      </c>
      <c r="I53" s="161"/>
      <c r="J53" s="161"/>
      <c r="K53" s="161"/>
      <c r="L53" s="161"/>
      <c r="M53" s="161"/>
      <c r="N53" s="161"/>
      <c r="O53" s="161"/>
      <c r="P53" s="161"/>
      <c r="Q53" s="161"/>
      <c r="S53" s="1">
        <v>2023589.41</v>
      </c>
    </row>
    <row r="54" spans="2:23" ht="12" customHeight="1" x14ac:dyDescent="0.2">
      <c r="C54" s="161" t="s">
        <v>95</v>
      </c>
      <c r="D54" s="161"/>
      <c r="E54" s="161"/>
      <c r="F54" s="161"/>
      <c r="H54" s="161" t="s">
        <v>96</v>
      </c>
      <c r="I54" s="161"/>
      <c r="J54" s="161"/>
      <c r="K54" s="161"/>
      <c r="L54" s="161"/>
      <c r="M54" s="161"/>
      <c r="N54" s="161"/>
      <c r="O54" s="161"/>
      <c r="P54" s="161"/>
      <c r="Q54" s="161"/>
      <c r="S54" s="1">
        <v>4109663.16</v>
      </c>
    </row>
    <row r="55" spans="2:23" ht="12" customHeight="1" x14ac:dyDescent="0.2">
      <c r="C55" s="161" t="s">
        <v>97</v>
      </c>
      <c r="D55" s="161"/>
      <c r="E55" s="161"/>
      <c r="F55" s="161"/>
      <c r="H55" s="161" t="s">
        <v>98</v>
      </c>
      <c r="I55" s="161"/>
      <c r="J55" s="161"/>
      <c r="K55" s="161"/>
      <c r="L55" s="161"/>
      <c r="M55" s="161"/>
      <c r="N55" s="161"/>
      <c r="O55" s="161"/>
      <c r="P55" s="161"/>
      <c r="Q55" s="161"/>
      <c r="S55" s="1">
        <v>70738.81</v>
      </c>
    </row>
    <row r="56" spans="2:23" ht="12" customHeight="1" x14ac:dyDescent="0.2">
      <c r="C56" s="161" t="s">
        <v>99</v>
      </c>
      <c r="D56" s="161"/>
      <c r="E56" s="161"/>
      <c r="F56" s="161"/>
      <c r="H56" s="161" t="s">
        <v>100</v>
      </c>
      <c r="I56" s="161"/>
      <c r="J56" s="161"/>
      <c r="K56" s="161"/>
      <c r="L56" s="161"/>
      <c r="M56" s="161"/>
      <c r="N56" s="161"/>
      <c r="O56" s="161"/>
      <c r="P56" s="161"/>
      <c r="Q56" s="161"/>
      <c r="S56" s="1">
        <v>-6203700.3399999999</v>
      </c>
    </row>
    <row r="57" spans="2:23" ht="12" customHeight="1" x14ac:dyDescent="0.2">
      <c r="C57" s="161" t="s">
        <v>101</v>
      </c>
      <c r="D57" s="161"/>
      <c r="E57" s="161"/>
      <c r="F57" s="161"/>
      <c r="H57" s="161" t="s">
        <v>102</v>
      </c>
      <c r="I57" s="161"/>
      <c r="J57" s="161"/>
      <c r="K57" s="161"/>
      <c r="L57" s="161"/>
      <c r="M57" s="161"/>
      <c r="N57" s="161"/>
      <c r="O57" s="161"/>
      <c r="P57" s="161"/>
      <c r="Q57" s="161"/>
      <c r="S57" s="2">
        <v>-129310.47</v>
      </c>
    </row>
    <row r="58" spans="2:23" ht="12" customHeight="1" x14ac:dyDescent="0.2">
      <c r="H58" s="162" t="s">
        <v>103</v>
      </c>
      <c r="I58" s="162"/>
      <c r="J58" s="162"/>
      <c r="K58" s="162"/>
      <c r="L58" s="162"/>
      <c r="M58" s="162"/>
      <c r="N58" s="162"/>
      <c r="O58" s="162"/>
      <c r="P58" s="162"/>
      <c r="U58" s="163">
        <f>SUM(S44:S57)</f>
        <v>10134644.75</v>
      </c>
      <c r="V58" s="163"/>
      <c r="W58" s="163"/>
    </row>
    <row r="59" spans="2:23" ht="12" customHeight="1" x14ac:dyDescent="0.2">
      <c r="B59" s="162" t="s">
        <v>219</v>
      </c>
      <c r="C59" s="162"/>
      <c r="D59" s="162"/>
      <c r="E59" s="162"/>
      <c r="F59" s="162"/>
      <c r="G59" s="162"/>
      <c r="H59" s="162"/>
      <c r="I59" s="162"/>
      <c r="J59" s="162"/>
      <c r="K59" s="162"/>
    </row>
    <row r="60" spans="2:23" ht="12" customHeight="1" x14ac:dyDescent="0.2">
      <c r="C60" s="161" t="s">
        <v>220</v>
      </c>
      <c r="D60" s="161"/>
      <c r="E60" s="161"/>
      <c r="F60" s="161"/>
      <c r="H60" s="161" t="s">
        <v>221</v>
      </c>
      <c r="I60" s="161"/>
      <c r="J60" s="161"/>
      <c r="K60" s="161"/>
      <c r="L60" s="161"/>
      <c r="M60" s="161"/>
      <c r="N60" s="161"/>
      <c r="O60" s="161"/>
      <c r="P60" s="161"/>
      <c r="Q60" s="161"/>
      <c r="S60" s="2">
        <v>75310.33</v>
      </c>
    </row>
    <row r="61" spans="2:23" ht="12" customHeight="1" x14ac:dyDescent="0.2">
      <c r="H61" s="162" t="s">
        <v>222</v>
      </c>
      <c r="I61" s="162"/>
      <c r="J61" s="162"/>
      <c r="K61" s="162"/>
      <c r="L61" s="162"/>
      <c r="M61" s="162"/>
      <c r="N61" s="162"/>
      <c r="O61" s="162"/>
      <c r="P61" s="162"/>
      <c r="U61" s="167">
        <f>S60</f>
        <v>75310.33</v>
      </c>
      <c r="V61" s="167"/>
      <c r="W61" s="167"/>
    </row>
    <row r="62" spans="2:23" ht="12" customHeight="1" x14ac:dyDescent="0.2"/>
    <row r="63" spans="2:23" ht="12" customHeight="1" thickBot="1" x14ac:dyDescent="0.25">
      <c r="I63" s="162" t="s">
        <v>104</v>
      </c>
      <c r="J63" s="162"/>
      <c r="K63" s="162"/>
      <c r="L63" s="162"/>
      <c r="M63" s="162"/>
      <c r="N63" s="162"/>
      <c r="O63" s="162"/>
      <c r="P63" s="162"/>
      <c r="U63" s="168">
        <f>U41+U58+U61</f>
        <v>32698959.460000012</v>
      </c>
      <c r="V63" s="168"/>
      <c r="W63" s="168"/>
    </row>
    <row r="64" spans="2:23" ht="12" customHeight="1" thickTop="1" x14ac:dyDescent="0.2"/>
    <row r="65" spans="1:19" ht="12" customHeight="1" x14ac:dyDescent="0.2">
      <c r="A65" s="162" t="s">
        <v>105</v>
      </c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</row>
    <row r="66" spans="1:19" ht="12" customHeight="1" x14ac:dyDescent="0.2"/>
    <row r="67" spans="1:19" ht="12" customHeight="1" x14ac:dyDescent="0.2">
      <c r="B67" s="162" t="s">
        <v>106</v>
      </c>
      <c r="C67" s="162"/>
      <c r="D67" s="162"/>
      <c r="E67" s="162"/>
      <c r="F67" s="162"/>
      <c r="G67" s="162"/>
      <c r="H67" s="162"/>
      <c r="I67" s="162"/>
      <c r="J67" s="162"/>
      <c r="K67" s="162"/>
      <c r="N67" s="186" t="s">
        <v>223</v>
      </c>
      <c r="O67" s="186"/>
    </row>
    <row r="68" spans="1:19" ht="12" customHeight="1" x14ac:dyDescent="0.2">
      <c r="C68" s="161" t="s">
        <v>109</v>
      </c>
      <c r="D68" s="161"/>
      <c r="E68" s="161"/>
      <c r="F68" s="161"/>
      <c r="H68" s="161" t="s">
        <v>110</v>
      </c>
      <c r="I68" s="161"/>
      <c r="J68" s="161"/>
      <c r="K68" s="161"/>
      <c r="L68" s="161"/>
      <c r="M68" s="161"/>
      <c r="N68" s="161"/>
      <c r="O68" s="161"/>
      <c r="P68" s="161"/>
      <c r="Q68" s="161"/>
      <c r="S68" s="1">
        <v>9560952.3300000001</v>
      </c>
    </row>
    <row r="69" spans="1:19" ht="12" customHeight="1" x14ac:dyDescent="0.2">
      <c r="C69" s="161" t="s">
        <v>224</v>
      </c>
      <c r="D69" s="161"/>
      <c r="E69" s="161"/>
      <c r="F69" s="161"/>
      <c r="H69" s="161" t="s">
        <v>225</v>
      </c>
      <c r="I69" s="161"/>
      <c r="J69" s="161"/>
      <c r="K69" s="161"/>
      <c r="L69" s="161"/>
      <c r="M69" s="161"/>
      <c r="N69" s="161"/>
      <c r="O69" s="161"/>
      <c r="P69" s="161"/>
      <c r="Q69" s="161"/>
      <c r="S69" s="1">
        <v>43000</v>
      </c>
    </row>
    <row r="70" spans="1:19" ht="12" customHeight="1" x14ac:dyDescent="0.2">
      <c r="C70" s="161" t="s">
        <v>111</v>
      </c>
      <c r="D70" s="161"/>
      <c r="E70" s="161"/>
      <c r="F70" s="161"/>
      <c r="H70" s="161" t="s">
        <v>112</v>
      </c>
      <c r="I70" s="161"/>
      <c r="J70" s="161"/>
      <c r="K70" s="161"/>
      <c r="L70" s="161"/>
      <c r="M70" s="161"/>
      <c r="N70" s="161"/>
      <c r="O70" s="161"/>
      <c r="P70" s="161"/>
      <c r="Q70" s="161"/>
      <c r="S70" s="1">
        <v>-162.68</v>
      </c>
    </row>
    <row r="71" spans="1:19" ht="12" customHeight="1" x14ac:dyDescent="0.2">
      <c r="C71" s="161" t="s">
        <v>226</v>
      </c>
      <c r="D71" s="161"/>
      <c r="E71" s="161"/>
      <c r="F71" s="161"/>
      <c r="H71" s="161" t="s">
        <v>227</v>
      </c>
      <c r="I71" s="161"/>
      <c r="J71" s="161"/>
      <c r="K71" s="161"/>
      <c r="L71" s="161"/>
      <c r="M71" s="161"/>
      <c r="N71" s="161"/>
      <c r="O71" s="161"/>
      <c r="P71" s="161"/>
      <c r="Q71" s="161"/>
      <c r="S71" s="1">
        <v>18068.73</v>
      </c>
    </row>
    <row r="72" spans="1:19" ht="12" customHeight="1" x14ac:dyDescent="0.2">
      <c r="C72" s="161" t="s">
        <v>113</v>
      </c>
      <c r="D72" s="161"/>
      <c r="E72" s="161"/>
      <c r="F72" s="161"/>
      <c r="H72" s="161" t="s">
        <v>114</v>
      </c>
      <c r="I72" s="161"/>
      <c r="J72" s="161"/>
      <c r="K72" s="161"/>
      <c r="L72" s="161"/>
      <c r="M72" s="161"/>
      <c r="N72" s="161"/>
      <c r="O72" s="161"/>
      <c r="P72" s="161"/>
      <c r="Q72" s="161"/>
      <c r="S72" s="1">
        <v>1726.15</v>
      </c>
    </row>
    <row r="73" spans="1:19" ht="12" customHeight="1" x14ac:dyDescent="0.2">
      <c r="C73" s="161" t="s">
        <v>117</v>
      </c>
      <c r="D73" s="161"/>
      <c r="E73" s="161"/>
      <c r="F73" s="161"/>
      <c r="H73" s="161" t="s">
        <v>118</v>
      </c>
      <c r="I73" s="161"/>
      <c r="J73" s="161"/>
      <c r="K73" s="161"/>
      <c r="L73" s="161"/>
      <c r="M73" s="161"/>
      <c r="N73" s="161"/>
      <c r="O73" s="161"/>
      <c r="P73" s="161"/>
      <c r="Q73" s="161"/>
      <c r="S73" s="1">
        <v>870165.09</v>
      </c>
    </row>
    <row r="74" spans="1:19" ht="12" customHeight="1" x14ac:dyDescent="0.2">
      <c r="C74" s="161" t="s">
        <v>119</v>
      </c>
      <c r="D74" s="161"/>
      <c r="E74" s="161"/>
      <c r="F74" s="161"/>
      <c r="H74" s="161" t="s">
        <v>120</v>
      </c>
      <c r="I74" s="161"/>
      <c r="J74" s="161"/>
      <c r="K74" s="161"/>
      <c r="L74" s="161"/>
      <c r="M74" s="161"/>
      <c r="N74" s="161"/>
      <c r="O74" s="161"/>
      <c r="P74" s="161"/>
      <c r="Q74" s="161"/>
      <c r="S74" s="1">
        <v>9349.3799999999992</v>
      </c>
    </row>
    <row r="75" spans="1:19" ht="12" customHeight="1" x14ac:dyDescent="0.2">
      <c r="C75" s="161" t="s">
        <v>121</v>
      </c>
      <c r="D75" s="161"/>
      <c r="E75" s="161"/>
      <c r="F75" s="161"/>
      <c r="H75" s="161" t="s">
        <v>122</v>
      </c>
      <c r="I75" s="161"/>
      <c r="J75" s="161"/>
      <c r="K75" s="161"/>
      <c r="L75" s="161"/>
      <c r="M75" s="161"/>
      <c r="N75" s="161"/>
      <c r="O75" s="161"/>
      <c r="P75" s="161"/>
      <c r="Q75" s="161"/>
      <c r="S75" s="1">
        <v>109277.74</v>
      </c>
    </row>
    <row r="76" spans="1:19" ht="12" customHeight="1" x14ac:dyDescent="0.2">
      <c r="C76" s="161" t="s">
        <v>123</v>
      </c>
      <c r="D76" s="161"/>
      <c r="E76" s="161"/>
      <c r="F76" s="161"/>
      <c r="H76" s="161" t="s">
        <v>124</v>
      </c>
      <c r="I76" s="161"/>
      <c r="J76" s="161"/>
      <c r="K76" s="161"/>
      <c r="L76" s="161"/>
      <c r="M76" s="161"/>
      <c r="N76" s="161"/>
      <c r="O76" s="161"/>
      <c r="P76" s="161"/>
      <c r="Q76" s="161"/>
      <c r="S76" s="1">
        <v>12187.43</v>
      </c>
    </row>
    <row r="77" spans="1:19" ht="12" customHeight="1" x14ac:dyDescent="0.2">
      <c r="C77" s="161" t="s">
        <v>125</v>
      </c>
      <c r="D77" s="161"/>
      <c r="E77" s="161"/>
      <c r="F77" s="161"/>
      <c r="H77" s="161" t="s">
        <v>126</v>
      </c>
      <c r="I77" s="161"/>
      <c r="J77" s="161"/>
      <c r="K77" s="161"/>
      <c r="L77" s="161"/>
      <c r="M77" s="161"/>
      <c r="N77" s="161"/>
      <c r="O77" s="161"/>
      <c r="P77" s="161"/>
      <c r="Q77" s="161"/>
      <c r="S77" s="1">
        <v>114680</v>
      </c>
    </row>
    <row r="78" spans="1:19" ht="12" customHeight="1" x14ac:dyDescent="0.2">
      <c r="C78" s="161" t="s">
        <v>127</v>
      </c>
      <c r="D78" s="161"/>
      <c r="E78" s="161"/>
      <c r="F78" s="161"/>
      <c r="H78" s="161" t="s">
        <v>128</v>
      </c>
      <c r="I78" s="161"/>
      <c r="J78" s="161"/>
      <c r="K78" s="161"/>
      <c r="L78" s="161"/>
      <c r="M78" s="161"/>
      <c r="N78" s="161"/>
      <c r="O78" s="161"/>
      <c r="P78" s="161"/>
      <c r="Q78" s="161"/>
      <c r="S78" s="1">
        <v>90876.28</v>
      </c>
    </row>
    <row r="79" spans="1:19" ht="12" customHeight="1" x14ac:dyDescent="0.2">
      <c r="C79" s="161" t="s">
        <v>129</v>
      </c>
      <c r="D79" s="161"/>
      <c r="E79" s="161"/>
      <c r="F79" s="161"/>
      <c r="H79" s="161" t="s">
        <v>130</v>
      </c>
      <c r="I79" s="161"/>
      <c r="J79" s="161"/>
      <c r="K79" s="161"/>
      <c r="L79" s="161"/>
      <c r="M79" s="161"/>
      <c r="N79" s="161"/>
      <c r="O79" s="161"/>
      <c r="P79" s="161"/>
      <c r="Q79" s="161"/>
      <c r="S79" s="1">
        <v>47947.68</v>
      </c>
    </row>
    <row r="80" spans="1:19" ht="12" customHeight="1" x14ac:dyDescent="0.2">
      <c r="C80" s="161" t="s">
        <v>228</v>
      </c>
      <c r="D80" s="161"/>
      <c r="E80" s="161"/>
      <c r="F80" s="161"/>
      <c r="H80" s="161" t="s">
        <v>229</v>
      </c>
      <c r="I80" s="161"/>
      <c r="J80" s="161"/>
      <c r="K80" s="161"/>
      <c r="L80" s="161"/>
      <c r="M80" s="161"/>
      <c r="N80" s="161"/>
      <c r="O80" s="161"/>
      <c r="P80" s="161"/>
      <c r="Q80" s="161"/>
      <c r="S80" s="1">
        <v>-38944.5</v>
      </c>
    </row>
    <row r="81" spans="1:23" ht="12" customHeight="1" x14ac:dyDescent="0.2">
      <c r="C81" s="161" t="s">
        <v>143</v>
      </c>
      <c r="D81" s="161"/>
      <c r="E81" s="161"/>
      <c r="F81" s="161"/>
      <c r="H81" s="161" t="s">
        <v>144</v>
      </c>
      <c r="I81" s="161"/>
      <c r="J81" s="161"/>
      <c r="K81" s="161"/>
      <c r="L81" s="161"/>
      <c r="M81" s="161"/>
      <c r="N81" s="161"/>
      <c r="O81" s="161"/>
      <c r="P81" s="161"/>
      <c r="Q81" s="161"/>
      <c r="S81" s="1">
        <v>607985.46</v>
      </c>
    </row>
    <row r="82" spans="1:23" ht="12" customHeight="1" x14ac:dyDescent="0.2">
      <c r="C82" s="161" t="s">
        <v>145</v>
      </c>
      <c r="D82" s="161"/>
      <c r="E82" s="161"/>
      <c r="F82" s="161"/>
      <c r="H82" s="161" t="s">
        <v>146</v>
      </c>
      <c r="I82" s="161"/>
      <c r="J82" s="161"/>
      <c r="K82" s="161"/>
      <c r="L82" s="161"/>
      <c r="M82" s="161"/>
      <c r="N82" s="161"/>
      <c r="O82" s="161"/>
      <c r="P82" s="161"/>
      <c r="Q82" s="161"/>
      <c r="S82" s="44">
        <v>2465412.2599999998</v>
      </c>
    </row>
    <row r="83" spans="1:23" ht="12" customHeight="1" x14ac:dyDescent="0.2">
      <c r="H83" s="162" t="s">
        <v>149</v>
      </c>
      <c r="I83" s="162"/>
      <c r="J83" s="162"/>
      <c r="K83" s="162"/>
      <c r="L83" s="162"/>
      <c r="M83" s="162"/>
      <c r="N83" s="162"/>
      <c r="O83" s="162"/>
      <c r="P83" s="162"/>
      <c r="U83" s="163">
        <f>SUM(S68:S82)</f>
        <v>13912521.35</v>
      </c>
      <c r="V83" s="163"/>
      <c r="W83" s="163"/>
    </row>
    <row r="84" spans="1:23" ht="12" customHeight="1" x14ac:dyDescent="0.2"/>
    <row r="85" spans="1:23" ht="12" customHeight="1" x14ac:dyDescent="0.2">
      <c r="B85" s="162" t="s">
        <v>150</v>
      </c>
      <c r="C85" s="162"/>
      <c r="D85" s="162"/>
      <c r="E85" s="162"/>
      <c r="F85" s="162"/>
      <c r="G85" s="162"/>
      <c r="H85" s="162"/>
      <c r="I85" s="162"/>
      <c r="J85" s="162"/>
      <c r="K85" s="162"/>
    </row>
    <row r="86" spans="1:23" ht="12" customHeight="1" x14ac:dyDescent="0.2"/>
    <row r="87" spans="1:23" ht="12" customHeight="1" x14ac:dyDescent="0.2">
      <c r="C87" s="161" t="s">
        <v>230</v>
      </c>
      <c r="D87" s="161"/>
      <c r="E87" s="161"/>
      <c r="F87" s="161"/>
      <c r="H87" s="161" t="s">
        <v>231</v>
      </c>
      <c r="I87" s="161"/>
      <c r="J87" s="161"/>
      <c r="K87" s="161"/>
      <c r="L87" s="161"/>
      <c r="M87" s="161"/>
      <c r="N87" s="161"/>
      <c r="O87" s="161"/>
      <c r="P87" s="161"/>
      <c r="Q87" s="161"/>
      <c r="S87" s="1">
        <v>121279.17</v>
      </c>
    </row>
    <row r="88" spans="1:23" ht="12" customHeight="1" x14ac:dyDescent="0.2">
      <c r="C88" s="161" t="s">
        <v>151</v>
      </c>
      <c r="D88" s="161"/>
      <c r="E88" s="161"/>
      <c r="F88" s="161"/>
      <c r="H88" s="161" t="s">
        <v>152</v>
      </c>
      <c r="I88" s="161"/>
      <c r="J88" s="161"/>
      <c r="K88" s="161"/>
      <c r="L88" s="161"/>
      <c r="M88" s="161"/>
      <c r="N88" s="161"/>
      <c r="O88" s="161"/>
      <c r="P88" s="161"/>
      <c r="Q88" s="161"/>
      <c r="S88" s="1">
        <v>2398462.06</v>
      </c>
    </row>
    <row r="89" spans="1:23" ht="12" customHeight="1" x14ac:dyDescent="0.2">
      <c r="C89" s="161" t="s">
        <v>153</v>
      </c>
      <c r="D89" s="161"/>
      <c r="E89" s="161"/>
      <c r="F89" s="161"/>
      <c r="H89" s="161" t="s">
        <v>154</v>
      </c>
      <c r="I89" s="161"/>
      <c r="J89" s="161"/>
      <c r="K89" s="161"/>
      <c r="L89" s="161"/>
      <c r="M89" s="161"/>
      <c r="N89" s="161"/>
      <c r="O89" s="161"/>
      <c r="P89" s="161"/>
      <c r="Q89" s="161"/>
      <c r="S89" s="1">
        <v>15829.65</v>
      </c>
    </row>
    <row r="90" spans="1:23" ht="12" customHeight="1" x14ac:dyDescent="0.2">
      <c r="C90" s="161" t="s">
        <v>155</v>
      </c>
      <c r="D90" s="161"/>
      <c r="E90" s="161"/>
      <c r="F90" s="161"/>
      <c r="H90" s="161" t="s">
        <v>156</v>
      </c>
      <c r="I90" s="161"/>
      <c r="J90" s="161"/>
      <c r="K90" s="161"/>
      <c r="L90" s="161"/>
      <c r="M90" s="161"/>
      <c r="N90" s="161"/>
      <c r="O90" s="161"/>
      <c r="P90" s="161"/>
      <c r="Q90" s="161"/>
      <c r="S90" s="1">
        <v>4106.17</v>
      </c>
    </row>
    <row r="91" spans="1:23" ht="12" customHeight="1" x14ac:dyDescent="0.2">
      <c r="C91" s="161" t="s">
        <v>157</v>
      </c>
      <c r="D91" s="161"/>
      <c r="E91" s="161"/>
      <c r="F91" s="161"/>
      <c r="H91" s="161" t="s">
        <v>158</v>
      </c>
      <c r="I91" s="161"/>
      <c r="J91" s="161"/>
      <c r="K91" s="161"/>
      <c r="L91" s="161"/>
      <c r="M91" s="161"/>
      <c r="N91" s="161"/>
      <c r="O91" s="161"/>
      <c r="P91" s="161"/>
      <c r="Q91" s="161"/>
      <c r="S91" s="44">
        <v>18728.580000000002</v>
      </c>
    </row>
    <row r="92" spans="1:23" ht="12" customHeight="1" x14ac:dyDescent="0.2">
      <c r="H92" s="162" t="s">
        <v>159</v>
      </c>
      <c r="I92" s="162"/>
      <c r="J92" s="162"/>
      <c r="K92" s="162"/>
      <c r="L92" s="162"/>
      <c r="M92" s="162"/>
      <c r="N92" s="162"/>
      <c r="O92" s="162"/>
      <c r="P92" s="162"/>
      <c r="U92" s="167">
        <f>SUM(S87:S91)</f>
        <v>2558405.63</v>
      </c>
      <c r="V92" s="167"/>
      <c r="W92" s="167"/>
    </row>
    <row r="93" spans="1:23" ht="12" customHeight="1" x14ac:dyDescent="0.2"/>
    <row r="94" spans="1:23" ht="12" customHeight="1" x14ac:dyDescent="0.2">
      <c r="I94" s="162" t="s">
        <v>160</v>
      </c>
      <c r="J94" s="162"/>
      <c r="K94" s="162"/>
      <c r="L94" s="162"/>
      <c r="M94" s="162"/>
      <c r="N94" s="162"/>
      <c r="O94" s="162"/>
      <c r="P94" s="162"/>
      <c r="U94" s="163">
        <f>U83+U92</f>
        <v>16470926.98</v>
      </c>
      <c r="V94" s="163"/>
      <c r="W94" s="163"/>
    </row>
    <row r="95" spans="1:23" ht="12" customHeight="1" x14ac:dyDescent="0.2"/>
    <row r="96" spans="1:23" ht="12" customHeight="1" x14ac:dyDescent="0.2">
      <c r="A96" s="162" t="s">
        <v>161</v>
      </c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</row>
    <row r="97" spans="3:23" ht="12" customHeight="1" x14ac:dyDescent="0.2">
      <c r="C97" s="161" t="s">
        <v>162</v>
      </c>
      <c r="D97" s="161"/>
      <c r="E97" s="161"/>
      <c r="F97" s="161"/>
      <c r="H97" s="161" t="s">
        <v>163</v>
      </c>
      <c r="I97" s="161"/>
      <c r="J97" s="161"/>
      <c r="K97" s="161"/>
      <c r="L97" s="161"/>
      <c r="M97" s="161"/>
      <c r="N97" s="161"/>
      <c r="O97" s="161"/>
      <c r="P97" s="161"/>
      <c r="Q97" s="161"/>
      <c r="S97" s="1">
        <v>152325</v>
      </c>
    </row>
    <row r="98" spans="3:23" ht="12" customHeight="1" x14ac:dyDescent="0.2">
      <c r="C98" s="161" t="s">
        <v>164</v>
      </c>
      <c r="D98" s="161"/>
      <c r="E98" s="161"/>
      <c r="F98" s="161"/>
      <c r="H98" s="161" t="s">
        <v>165</v>
      </c>
      <c r="I98" s="161"/>
      <c r="J98" s="161"/>
      <c r="K98" s="161"/>
      <c r="L98" s="161"/>
      <c r="M98" s="161"/>
      <c r="N98" s="161"/>
      <c r="O98" s="161"/>
      <c r="P98" s="161"/>
      <c r="Q98" s="161"/>
      <c r="S98" s="1">
        <v>1709758</v>
      </c>
    </row>
    <row r="99" spans="3:23" ht="12" customHeight="1" x14ac:dyDescent="0.2">
      <c r="C99" s="161" t="s">
        <v>166</v>
      </c>
      <c r="D99" s="161"/>
      <c r="E99" s="161"/>
      <c r="F99" s="161"/>
      <c r="H99" s="161" t="s">
        <v>167</v>
      </c>
      <c r="I99" s="161"/>
      <c r="J99" s="161"/>
      <c r="K99" s="161"/>
      <c r="L99" s="161"/>
      <c r="M99" s="161"/>
      <c r="N99" s="161"/>
      <c r="O99" s="161"/>
      <c r="P99" s="161"/>
      <c r="Q99" s="161"/>
      <c r="S99" s="1">
        <v>-1019288.95</v>
      </c>
    </row>
    <row r="100" spans="3:23" ht="12" customHeight="1" x14ac:dyDescent="0.2">
      <c r="C100" s="161" t="s">
        <v>166</v>
      </c>
      <c r="D100" s="161"/>
      <c r="E100" s="161"/>
      <c r="F100" s="161"/>
      <c r="H100" s="161" t="s">
        <v>168</v>
      </c>
      <c r="I100" s="161"/>
      <c r="J100" s="161"/>
      <c r="K100" s="161"/>
      <c r="L100" s="161"/>
      <c r="M100" s="161"/>
      <c r="N100" s="161"/>
      <c r="O100" s="161"/>
      <c r="P100" s="161"/>
      <c r="Q100" s="161"/>
      <c r="S100" s="1">
        <v>18977863.780000001</v>
      </c>
    </row>
    <row r="101" spans="3:23" ht="12" customHeight="1" x14ac:dyDescent="0.2">
      <c r="C101" s="161" t="s">
        <v>169</v>
      </c>
      <c r="D101" s="161"/>
      <c r="E101" s="161"/>
      <c r="F101" s="161"/>
      <c r="H101" s="161" t="s">
        <v>170</v>
      </c>
      <c r="I101" s="161"/>
      <c r="J101" s="161"/>
      <c r="K101" s="161"/>
      <c r="L101" s="161"/>
      <c r="M101" s="161"/>
      <c r="N101" s="161"/>
      <c r="O101" s="161"/>
      <c r="P101" s="161"/>
      <c r="Q101" s="161"/>
      <c r="S101" s="1">
        <v>1382894.79</v>
      </c>
    </row>
    <row r="102" spans="3:23" ht="12" customHeight="1" x14ac:dyDescent="0.2">
      <c r="C102" s="161" t="s">
        <v>171</v>
      </c>
      <c r="D102" s="161"/>
      <c r="E102" s="161"/>
      <c r="F102" s="161"/>
      <c r="H102" s="161" t="s">
        <v>172</v>
      </c>
      <c r="I102" s="161"/>
      <c r="J102" s="161"/>
      <c r="K102" s="161"/>
      <c r="L102" s="161"/>
      <c r="M102" s="161"/>
      <c r="N102" s="161"/>
      <c r="O102" s="161"/>
      <c r="P102" s="161"/>
      <c r="Q102" s="161"/>
      <c r="S102" s="1">
        <v>-863811.4</v>
      </c>
    </row>
    <row r="103" spans="3:23" ht="12" customHeight="1" x14ac:dyDescent="0.2">
      <c r="C103" s="161" t="s">
        <v>173</v>
      </c>
      <c r="D103" s="161"/>
      <c r="E103" s="161"/>
      <c r="F103" s="161"/>
      <c r="H103" s="161" t="s">
        <v>174</v>
      </c>
      <c r="I103" s="161"/>
      <c r="J103" s="161"/>
      <c r="K103" s="161"/>
      <c r="L103" s="161"/>
      <c r="M103" s="161"/>
      <c r="N103" s="161"/>
      <c r="O103" s="161"/>
      <c r="P103" s="161"/>
      <c r="Q103" s="161"/>
      <c r="S103" s="1">
        <v>-876673</v>
      </c>
    </row>
    <row r="104" spans="3:23" ht="12" customHeight="1" x14ac:dyDescent="0.2">
      <c r="C104" s="161" t="s">
        <v>175</v>
      </c>
      <c r="D104" s="161"/>
      <c r="E104" s="161"/>
      <c r="F104" s="161"/>
      <c r="H104" s="161" t="s">
        <v>176</v>
      </c>
      <c r="I104" s="161"/>
      <c r="J104" s="161"/>
      <c r="K104" s="161"/>
      <c r="L104" s="161"/>
      <c r="M104" s="161"/>
      <c r="N104" s="161"/>
      <c r="O104" s="161"/>
      <c r="P104" s="161"/>
      <c r="Q104" s="161"/>
      <c r="S104" s="1">
        <v>-857434.24</v>
      </c>
    </row>
    <row r="105" spans="3:23" ht="12" customHeight="1" x14ac:dyDescent="0.2">
      <c r="C105" s="161" t="s">
        <v>232</v>
      </c>
      <c r="D105" s="161"/>
      <c r="E105" s="161"/>
      <c r="F105" s="161"/>
      <c r="H105" s="161" t="s">
        <v>233</v>
      </c>
      <c r="I105" s="161"/>
      <c r="J105" s="161"/>
      <c r="K105" s="161"/>
      <c r="L105" s="161"/>
      <c r="M105" s="161"/>
      <c r="N105" s="161"/>
      <c r="O105" s="161"/>
      <c r="P105" s="161"/>
      <c r="Q105" s="161"/>
      <c r="S105" s="44">
        <v>-2377601.5</v>
      </c>
    </row>
    <row r="106" spans="3:23" ht="12" customHeight="1" x14ac:dyDescent="0.2">
      <c r="I106" s="162" t="s">
        <v>177</v>
      </c>
      <c r="J106" s="162"/>
      <c r="K106" s="162"/>
      <c r="L106" s="162"/>
      <c r="M106" s="162"/>
      <c r="N106" s="162"/>
      <c r="O106" s="162"/>
      <c r="P106" s="162"/>
      <c r="U106" s="171">
        <f>SUM(S97:S105)</f>
        <v>16228032.480000004</v>
      </c>
      <c r="V106" s="171"/>
      <c r="W106" s="171"/>
    </row>
    <row r="107" spans="3:23" ht="12" customHeight="1" x14ac:dyDescent="0.2"/>
    <row r="108" spans="3:23" ht="12" customHeight="1" x14ac:dyDescent="0.2">
      <c r="I108" s="162" t="s">
        <v>178</v>
      </c>
      <c r="J108" s="162"/>
      <c r="K108" s="162"/>
      <c r="L108" s="162"/>
      <c r="M108" s="162"/>
      <c r="N108" s="162"/>
      <c r="O108" s="162"/>
      <c r="P108" s="162"/>
    </row>
    <row r="109" spans="3:23" ht="12" customHeight="1" thickBot="1" x14ac:dyDescent="0.25">
      <c r="I109" s="162"/>
      <c r="J109" s="162"/>
      <c r="K109" s="162"/>
      <c r="L109" s="162"/>
      <c r="M109" s="162"/>
      <c r="N109" s="162"/>
      <c r="O109" s="162"/>
      <c r="P109" s="162"/>
      <c r="U109" s="168">
        <f>U94+U106</f>
        <v>32698959.460000005</v>
      </c>
      <c r="V109" s="168"/>
      <c r="W109" s="168"/>
    </row>
    <row r="110" spans="3:23" ht="6" customHeight="1" thickTop="1" x14ac:dyDescent="0.2"/>
    <row r="112" spans="3:23" ht="12.75" customHeight="1" x14ac:dyDescent="0.2">
      <c r="V112" s="45">
        <f>U63-U109</f>
        <v>0</v>
      </c>
    </row>
  </sheetData>
  <mergeCells count="176"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C17:F17"/>
    <mergeCell ref="H17:Q17"/>
    <mergeCell ref="C18:F18"/>
    <mergeCell ref="H18:Q18"/>
    <mergeCell ref="C19:F19"/>
    <mergeCell ref="H19:Q19"/>
    <mergeCell ref="C20:F20"/>
    <mergeCell ref="H20:Q20"/>
    <mergeCell ref="C21:F21"/>
    <mergeCell ref="H21:Q21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C27:F27"/>
    <mergeCell ref="H27:Q27"/>
    <mergeCell ref="C29:F29"/>
    <mergeCell ref="H29:Q29"/>
    <mergeCell ref="C30:F30"/>
    <mergeCell ref="H30:Q30"/>
    <mergeCell ref="C31:F31"/>
    <mergeCell ref="H31:Q31"/>
    <mergeCell ref="C32:F32"/>
    <mergeCell ref="H32:Q32"/>
    <mergeCell ref="C33:F33"/>
    <mergeCell ref="H33:Q33"/>
    <mergeCell ref="C35:F35"/>
    <mergeCell ref="H35:Q35"/>
    <mergeCell ref="C36:F36"/>
    <mergeCell ref="H36:Q36"/>
    <mergeCell ref="C37:F37"/>
    <mergeCell ref="H37:Q37"/>
    <mergeCell ref="C38:F38"/>
    <mergeCell ref="H38:Q38"/>
    <mergeCell ref="C39:F39"/>
    <mergeCell ref="H39:Q39"/>
    <mergeCell ref="C40:F40"/>
    <mergeCell ref="H40:Q40"/>
    <mergeCell ref="H41:P41"/>
    <mergeCell ref="U41:W41"/>
    <mergeCell ref="B43:K43"/>
    <mergeCell ref="C44:F44"/>
    <mergeCell ref="H44:Q44"/>
    <mergeCell ref="C45:F45"/>
    <mergeCell ref="H45:Q45"/>
    <mergeCell ref="C46:F46"/>
    <mergeCell ref="H46:Q46"/>
    <mergeCell ref="C47:F47"/>
    <mergeCell ref="H47:Q47"/>
    <mergeCell ref="C48:F48"/>
    <mergeCell ref="H48:Q48"/>
    <mergeCell ref="C49:F49"/>
    <mergeCell ref="H49:Q49"/>
    <mergeCell ref="C50:F50"/>
    <mergeCell ref="H50:Q50"/>
    <mergeCell ref="C51:F51"/>
    <mergeCell ref="H51:Q51"/>
    <mergeCell ref="C52:F52"/>
    <mergeCell ref="H52:Q52"/>
    <mergeCell ref="C53:F53"/>
    <mergeCell ref="H53:Q53"/>
    <mergeCell ref="C60:F60"/>
    <mergeCell ref="H60:Q60"/>
    <mergeCell ref="C54:F54"/>
    <mergeCell ref="H54:Q54"/>
    <mergeCell ref="C55:F55"/>
    <mergeCell ref="H55:Q55"/>
    <mergeCell ref="C56:F56"/>
    <mergeCell ref="H56:Q56"/>
    <mergeCell ref="H61:P61"/>
    <mergeCell ref="U61:W61"/>
    <mergeCell ref="I63:P63"/>
    <mergeCell ref="U63:W63"/>
    <mergeCell ref="A65:M65"/>
    <mergeCell ref="C57:F57"/>
    <mergeCell ref="H57:Q57"/>
    <mergeCell ref="H58:P58"/>
    <mergeCell ref="U58:W58"/>
    <mergeCell ref="B59:K59"/>
    <mergeCell ref="B67:K67"/>
    <mergeCell ref="N67:O67"/>
    <mergeCell ref="C68:F68"/>
    <mergeCell ref="H68:Q68"/>
    <mergeCell ref="C69:F69"/>
    <mergeCell ref="H69:Q69"/>
    <mergeCell ref="C70:F70"/>
    <mergeCell ref="H70:Q70"/>
    <mergeCell ref="C71:F71"/>
    <mergeCell ref="H71:Q71"/>
    <mergeCell ref="C72:F72"/>
    <mergeCell ref="H72:Q72"/>
    <mergeCell ref="C73:F73"/>
    <mergeCell ref="H73:Q73"/>
    <mergeCell ref="C74:F74"/>
    <mergeCell ref="H74:Q74"/>
    <mergeCell ref="C75:F75"/>
    <mergeCell ref="H75:Q75"/>
    <mergeCell ref="C76:F76"/>
    <mergeCell ref="H76:Q76"/>
    <mergeCell ref="C77:F77"/>
    <mergeCell ref="H77:Q77"/>
    <mergeCell ref="C78:F78"/>
    <mergeCell ref="H78:Q78"/>
    <mergeCell ref="C79:F79"/>
    <mergeCell ref="H79:Q79"/>
    <mergeCell ref="C80:F80"/>
    <mergeCell ref="H80:Q80"/>
    <mergeCell ref="C81:F81"/>
    <mergeCell ref="H81:Q81"/>
    <mergeCell ref="C82:F82"/>
    <mergeCell ref="H82:Q82"/>
    <mergeCell ref="H83:P83"/>
    <mergeCell ref="U83:W83"/>
    <mergeCell ref="B85:K85"/>
    <mergeCell ref="C87:F87"/>
    <mergeCell ref="H87:Q87"/>
    <mergeCell ref="C88:F88"/>
    <mergeCell ref="H88:Q88"/>
    <mergeCell ref="C89:F89"/>
    <mergeCell ref="H89:Q89"/>
    <mergeCell ref="C90:F90"/>
    <mergeCell ref="H90:Q90"/>
    <mergeCell ref="C91:F91"/>
    <mergeCell ref="H91:Q91"/>
    <mergeCell ref="H92:P92"/>
    <mergeCell ref="U92:W92"/>
    <mergeCell ref="I94:P94"/>
    <mergeCell ref="U94:W94"/>
    <mergeCell ref="A96:M96"/>
    <mergeCell ref="C97:F97"/>
    <mergeCell ref="H97:Q97"/>
    <mergeCell ref="C98:F98"/>
    <mergeCell ref="H98:Q98"/>
    <mergeCell ref="C99:F99"/>
    <mergeCell ref="H99:Q99"/>
    <mergeCell ref="C100:F100"/>
    <mergeCell ref="H100:Q100"/>
    <mergeCell ref="C101:F101"/>
    <mergeCell ref="H101:Q101"/>
    <mergeCell ref="C102:F102"/>
    <mergeCell ref="H102:Q102"/>
    <mergeCell ref="I106:P106"/>
    <mergeCell ref="U106:W106"/>
    <mergeCell ref="I108:P109"/>
    <mergeCell ref="U109:W109"/>
    <mergeCell ref="C103:F103"/>
    <mergeCell ref="H103:Q103"/>
    <mergeCell ref="C104:F104"/>
    <mergeCell ref="H104:Q104"/>
    <mergeCell ref="C105:F105"/>
    <mergeCell ref="H105:Q105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  <outlinePr summaryBelow="0"/>
    <pageSetUpPr autoPageBreaks="0"/>
  </sheetPr>
  <dimension ref="A1:X59"/>
  <sheetViews>
    <sheetView showGridLines="0" zoomScaleNormal="100" workbookViewId="0">
      <selection activeCell="AI55" sqref="AI55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</row>
    <row r="2" spans="1:24" ht="12" customHeight="1" x14ac:dyDescent="0.2">
      <c r="A2" s="169" t="s">
        <v>586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</row>
    <row r="3" spans="1:24" ht="12" customHeight="1" x14ac:dyDescent="0.2"/>
    <row r="4" spans="1:24" ht="12" customHeight="1" x14ac:dyDescent="0.2">
      <c r="A4" s="162" t="s">
        <v>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</row>
    <row r="5" spans="1:24" ht="12" customHeight="1" x14ac:dyDescent="0.2"/>
    <row r="6" spans="1:24" ht="12" customHeight="1" x14ac:dyDescent="0.2">
      <c r="B6" s="162" t="s">
        <v>3</v>
      </c>
      <c r="C6" s="162"/>
      <c r="D6" s="162"/>
      <c r="E6" s="162"/>
      <c r="F6" s="162"/>
      <c r="G6" s="162"/>
      <c r="H6" s="162"/>
      <c r="I6" s="162"/>
      <c r="J6" s="162"/>
      <c r="K6" s="162"/>
    </row>
    <row r="7" spans="1:24" ht="12" customHeight="1" x14ac:dyDescent="0.2">
      <c r="C7" s="161" t="s">
        <v>8</v>
      </c>
      <c r="D7" s="161"/>
      <c r="E7" s="161"/>
      <c r="F7" s="161"/>
      <c r="H7" s="161" t="s">
        <v>180</v>
      </c>
      <c r="I7" s="161"/>
      <c r="J7" s="161"/>
      <c r="K7" s="161"/>
      <c r="L7" s="161"/>
      <c r="M7" s="161"/>
      <c r="N7" s="161"/>
      <c r="O7" s="161"/>
      <c r="P7" s="161"/>
      <c r="Q7" s="161"/>
      <c r="S7" s="1">
        <v>921283.31</v>
      </c>
    </row>
    <row r="8" spans="1:24" ht="12" customHeight="1" x14ac:dyDescent="0.2">
      <c r="C8" s="161" t="s">
        <v>16</v>
      </c>
      <c r="D8" s="161"/>
      <c r="E8" s="161"/>
      <c r="F8" s="161"/>
      <c r="H8" s="161" t="s">
        <v>17</v>
      </c>
      <c r="I8" s="161"/>
      <c r="J8" s="161"/>
      <c r="K8" s="161"/>
      <c r="L8" s="161"/>
      <c r="M8" s="161"/>
      <c r="N8" s="161"/>
      <c r="O8" s="161"/>
      <c r="P8" s="161"/>
      <c r="Q8" s="161"/>
      <c r="S8" s="1">
        <v>335272.15999999997</v>
      </c>
    </row>
    <row r="9" spans="1:24" ht="12" customHeight="1" x14ac:dyDescent="0.2">
      <c r="C9" s="161" t="s">
        <v>181</v>
      </c>
      <c r="D9" s="161"/>
      <c r="E9" s="161"/>
      <c r="F9" s="161"/>
      <c r="H9" s="161" t="s">
        <v>182</v>
      </c>
      <c r="I9" s="161"/>
      <c r="J9" s="161"/>
      <c r="K9" s="161"/>
      <c r="L9" s="161"/>
      <c r="M9" s="161"/>
      <c r="N9" s="161"/>
      <c r="O9" s="161"/>
      <c r="P9" s="161"/>
      <c r="Q9" s="161"/>
      <c r="S9" s="1">
        <v>100821.5</v>
      </c>
    </row>
    <row r="10" spans="1:24" ht="12" customHeight="1" x14ac:dyDescent="0.2">
      <c r="C10" s="161" t="s">
        <v>18</v>
      </c>
      <c r="D10" s="161"/>
      <c r="E10" s="161"/>
      <c r="F10" s="161"/>
      <c r="H10" s="161" t="s">
        <v>19</v>
      </c>
      <c r="I10" s="161"/>
      <c r="J10" s="161"/>
      <c r="K10" s="161"/>
      <c r="L10" s="161"/>
      <c r="M10" s="161"/>
      <c r="N10" s="161"/>
      <c r="O10" s="161"/>
      <c r="P10" s="161"/>
      <c r="Q10" s="161"/>
      <c r="S10" s="1">
        <v>256344.56</v>
      </c>
    </row>
    <row r="11" spans="1:24" ht="12" customHeight="1" x14ac:dyDescent="0.2">
      <c r="C11" s="161" t="s">
        <v>20</v>
      </c>
      <c r="D11" s="161"/>
      <c r="E11" s="161"/>
      <c r="F11" s="161"/>
      <c r="H11" s="161" t="s">
        <v>21</v>
      </c>
      <c r="I11" s="161"/>
      <c r="J11" s="161"/>
      <c r="K11" s="161"/>
      <c r="L11" s="161"/>
      <c r="M11" s="161"/>
      <c r="N11" s="161"/>
      <c r="O11" s="161"/>
      <c r="P11" s="161"/>
      <c r="Q11" s="161"/>
      <c r="S11" s="1">
        <v>7999.2</v>
      </c>
    </row>
    <row r="12" spans="1:24" ht="12" customHeight="1" x14ac:dyDescent="0.2">
      <c r="C12" s="161" t="s">
        <v>22</v>
      </c>
      <c r="D12" s="161"/>
      <c r="E12" s="161"/>
      <c r="F12" s="161"/>
      <c r="H12" s="161" t="s">
        <v>23</v>
      </c>
      <c r="I12" s="161"/>
      <c r="J12" s="161"/>
      <c r="K12" s="161"/>
      <c r="L12" s="161"/>
      <c r="M12" s="161"/>
      <c r="N12" s="161"/>
      <c r="O12" s="161"/>
      <c r="P12" s="161"/>
      <c r="Q12" s="161"/>
      <c r="S12" s="1">
        <v>2911.53</v>
      </c>
    </row>
    <row r="13" spans="1:24" ht="12" customHeight="1" x14ac:dyDescent="0.2">
      <c r="C13" s="161">
        <v>1224</v>
      </c>
      <c r="D13" s="161"/>
      <c r="E13" s="161"/>
      <c r="F13" s="161"/>
      <c r="H13" s="161" t="s">
        <v>25</v>
      </c>
      <c r="I13" s="161"/>
      <c r="J13" s="161"/>
      <c r="K13" s="161"/>
      <c r="L13" s="161"/>
      <c r="M13" s="161"/>
      <c r="N13" s="161"/>
      <c r="O13" s="161"/>
      <c r="P13" s="161"/>
      <c r="Q13" s="161"/>
      <c r="S13" s="138">
        <v>980</v>
      </c>
    </row>
    <row r="14" spans="1:24" ht="12" customHeight="1" x14ac:dyDescent="0.2">
      <c r="C14" s="161" t="s">
        <v>26</v>
      </c>
      <c r="D14" s="161"/>
      <c r="E14" s="161"/>
      <c r="F14" s="161"/>
      <c r="H14" s="161" t="s">
        <v>234</v>
      </c>
      <c r="I14" s="161"/>
      <c r="J14" s="161"/>
      <c r="K14" s="161"/>
      <c r="L14" s="161"/>
      <c r="M14" s="161"/>
      <c r="N14" s="161"/>
      <c r="O14" s="161"/>
      <c r="P14" s="161"/>
      <c r="Q14" s="161"/>
      <c r="S14" s="1">
        <v>9</v>
      </c>
    </row>
    <row r="15" spans="1:24" ht="12" customHeight="1" x14ac:dyDescent="0.2">
      <c r="C15" s="161" t="s">
        <v>28</v>
      </c>
      <c r="D15" s="161"/>
      <c r="E15" s="161"/>
      <c r="F15" s="161"/>
      <c r="H15" s="161" t="s">
        <v>235</v>
      </c>
      <c r="I15" s="161"/>
      <c r="J15" s="161"/>
      <c r="K15" s="161"/>
      <c r="L15" s="161"/>
      <c r="M15" s="161"/>
      <c r="N15" s="161"/>
      <c r="O15" s="161"/>
      <c r="P15" s="161"/>
      <c r="Q15" s="161"/>
      <c r="S15" s="1">
        <v>81</v>
      </c>
    </row>
    <row r="16" spans="1:24" ht="12" customHeight="1" x14ac:dyDescent="0.2">
      <c r="C16" s="161" t="s">
        <v>30</v>
      </c>
      <c r="D16" s="161"/>
      <c r="E16" s="161"/>
      <c r="F16" s="161"/>
      <c r="H16" s="161" t="s">
        <v>31</v>
      </c>
      <c r="I16" s="161"/>
      <c r="J16" s="161"/>
      <c r="K16" s="161"/>
      <c r="L16" s="161"/>
      <c r="M16" s="161"/>
      <c r="N16" s="161"/>
      <c r="O16" s="161"/>
      <c r="P16" s="161"/>
      <c r="Q16" s="161"/>
      <c r="S16" s="1">
        <v>0</v>
      </c>
    </row>
    <row r="17" spans="1:23" ht="12" customHeight="1" x14ac:dyDescent="0.2">
      <c r="C17" s="161" t="s">
        <v>46</v>
      </c>
      <c r="D17" s="161"/>
      <c r="E17" s="161"/>
      <c r="F17" s="161"/>
      <c r="H17" s="161" t="s">
        <v>197</v>
      </c>
      <c r="I17" s="161"/>
      <c r="J17" s="161"/>
      <c r="K17" s="161"/>
      <c r="L17" s="161"/>
      <c r="M17" s="161"/>
      <c r="N17" s="161"/>
      <c r="O17" s="161"/>
      <c r="P17" s="161"/>
      <c r="Q17" s="161"/>
      <c r="S17" s="1">
        <v>17150</v>
      </c>
    </row>
    <row r="18" spans="1:23" ht="12" customHeight="1" x14ac:dyDescent="0.2">
      <c r="C18" s="161" t="s">
        <v>56</v>
      </c>
      <c r="D18" s="161"/>
      <c r="E18" s="161"/>
      <c r="F18" s="161"/>
      <c r="H18" s="161" t="s">
        <v>186</v>
      </c>
      <c r="I18" s="161"/>
      <c r="J18" s="161"/>
      <c r="K18" s="161"/>
      <c r="L18" s="161"/>
      <c r="M18" s="161"/>
      <c r="N18" s="161"/>
      <c r="O18" s="161"/>
      <c r="P18" s="161"/>
      <c r="Q18" s="161"/>
      <c r="S18" s="1">
        <v>2585.87</v>
      </c>
    </row>
    <row r="19" spans="1:23" ht="12" customHeight="1" x14ac:dyDescent="0.2">
      <c r="C19" s="161">
        <v>1250</v>
      </c>
      <c r="D19" s="161"/>
      <c r="E19" s="161"/>
      <c r="F19" s="161"/>
      <c r="H19" s="161" t="s">
        <v>184</v>
      </c>
      <c r="I19" s="161"/>
      <c r="J19" s="161"/>
      <c r="K19" s="161"/>
      <c r="L19" s="161"/>
      <c r="M19" s="161"/>
      <c r="N19" s="161"/>
      <c r="O19" s="161"/>
      <c r="P19" s="161"/>
      <c r="Q19" s="161"/>
      <c r="S19" s="2">
        <v>1200000</v>
      </c>
    </row>
    <row r="20" spans="1:23" ht="12" customHeight="1" x14ac:dyDescent="0.2">
      <c r="H20" s="162" t="s">
        <v>73</v>
      </c>
      <c r="I20" s="162"/>
      <c r="J20" s="162"/>
      <c r="K20" s="162"/>
      <c r="L20" s="162"/>
      <c r="M20" s="162"/>
      <c r="N20" s="162"/>
      <c r="O20" s="162"/>
      <c r="P20" s="162"/>
      <c r="U20" s="163">
        <f>SUM(S7:S19)</f>
        <v>2845438.13</v>
      </c>
      <c r="V20" s="163"/>
      <c r="W20" s="163"/>
    </row>
    <row r="21" spans="1:23" ht="12" customHeight="1" x14ac:dyDescent="0.2"/>
    <row r="22" spans="1:23" ht="12" customHeight="1" x14ac:dyDescent="0.2">
      <c r="B22" s="162" t="s">
        <v>74</v>
      </c>
      <c r="C22" s="162"/>
      <c r="D22" s="162"/>
      <c r="E22" s="162"/>
      <c r="F22" s="162"/>
      <c r="G22" s="162"/>
      <c r="H22" s="162"/>
      <c r="I22" s="162"/>
      <c r="J22" s="162"/>
      <c r="K22" s="162"/>
    </row>
    <row r="23" spans="1:23" ht="12" customHeight="1" x14ac:dyDescent="0.2">
      <c r="C23" s="161" t="s">
        <v>75</v>
      </c>
      <c r="D23" s="161"/>
      <c r="E23" s="161"/>
      <c r="F23" s="161"/>
      <c r="H23" s="161" t="s">
        <v>187</v>
      </c>
      <c r="I23" s="161"/>
      <c r="J23" s="161"/>
      <c r="K23" s="161"/>
      <c r="L23" s="161"/>
      <c r="M23" s="161"/>
      <c r="N23" s="161"/>
      <c r="O23" s="161"/>
      <c r="P23" s="161"/>
      <c r="Q23" s="161"/>
      <c r="S23" s="1">
        <v>8577.17</v>
      </c>
    </row>
    <row r="24" spans="1:23" ht="12" customHeight="1" x14ac:dyDescent="0.2">
      <c r="C24" s="161" t="s">
        <v>87</v>
      </c>
      <c r="D24" s="161"/>
      <c r="E24" s="161"/>
      <c r="F24" s="161"/>
      <c r="H24" s="161" t="s">
        <v>88</v>
      </c>
      <c r="I24" s="161"/>
      <c r="J24" s="161"/>
      <c r="K24" s="161"/>
      <c r="L24" s="161"/>
      <c r="M24" s="161"/>
      <c r="N24" s="161"/>
      <c r="O24" s="161"/>
      <c r="P24" s="161"/>
      <c r="Q24" s="161"/>
      <c r="S24" s="1">
        <v>20237.79</v>
      </c>
    </row>
    <row r="25" spans="1:23" ht="12" customHeight="1" x14ac:dyDescent="0.2">
      <c r="C25" s="161" t="s">
        <v>99</v>
      </c>
      <c r="D25" s="161"/>
      <c r="E25" s="161"/>
      <c r="F25" s="161"/>
      <c r="H25" s="161" t="s">
        <v>188</v>
      </c>
      <c r="I25" s="161"/>
      <c r="J25" s="161"/>
      <c r="K25" s="161"/>
      <c r="L25" s="161"/>
      <c r="M25" s="161"/>
      <c r="N25" s="161"/>
      <c r="O25" s="161"/>
      <c r="P25" s="161"/>
      <c r="Q25" s="161"/>
      <c r="S25" s="2">
        <v>-7000</v>
      </c>
    </row>
    <row r="26" spans="1:23" ht="12" customHeight="1" x14ac:dyDescent="0.2">
      <c r="H26" s="162" t="s">
        <v>103</v>
      </c>
      <c r="I26" s="162"/>
      <c r="J26" s="162"/>
      <c r="K26" s="162"/>
      <c r="L26" s="162"/>
      <c r="M26" s="162"/>
      <c r="N26" s="162"/>
      <c r="O26" s="162"/>
      <c r="P26" s="162"/>
      <c r="U26" s="167">
        <f>SUM(S23:S25)</f>
        <v>21814.959999999999</v>
      </c>
      <c r="V26" s="167"/>
      <c r="W26" s="167"/>
    </row>
    <row r="27" spans="1:23" ht="12" customHeight="1" thickBot="1" x14ac:dyDescent="0.25">
      <c r="I27" s="162" t="s">
        <v>104</v>
      </c>
      <c r="J27" s="162"/>
      <c r="K27" s="162"/>
      <c r="L27" s="162"/>
      <c r="M27" s="162"/>
      <c r="N27" s="162"/>
      <c r="O27" s="162"/>
      <c r="P27" s="162"/>
      <c r="U27" s="168">
        <f>U20+U26</f>
        <v>2867253.09</v>
      </c>
      <c r="V27" s="168"/>
      <c r="W27" s="168"/>
    </row>
    <row r="28" spans="1:23" ht="12" customHeight="1" thickTop="1" x14ac:dyDescent="0.2"/>
    <row r="29" spans="1:23" ht="12" customHeight="1" x14ac:dyDescent="0.2">
      <c r="A29" s="162" t="s">
        <v>105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</row>
    <row r="30" spans="1:23" ht="12" customHeight="1" x14ac:dyDescent="0.2"/>
    <row r="31" spans="1:23" ht="12" customHeight="1" x14ac:dyDescent="0.2">
      <c r="B31" s="162" t="s">
        <v>106</v>
      </c>
      <c r="C31" s="162"/>
      <c r="D31" s="162"/>
      <c r="E31" s="162"/>
      <c r="F31" s="162"/>
      <c r="G31" s="162"/>
      <c r="H31" s="162"/>
      <c r="I31" s="162"/>
      <c r="J31" s="162"/>
      <c r="K31" s="162"/>
    </row>
    <row r="32" spans="1:23" ht="12" customHeight="1" x14ac:dyDescent="0.2">
      <c r="C32" s="161" t="s">
        <v>109</v>
      </c>
      <c r="D32" s="161"/>
      <c r="E32" s="161"/>
      <c r="F32" s="161"/>
      <c r="H32" s="161" t="s">
        <v>110</v>
      </c>
      <c r="I32" s="161"/>
      <c r="J32" s="161"/>
      <c r="K32" s="161"/>
      <c r="L32" s="161"/>
      <c r="M32" s="161"/>
      <c r="N32" s="161"/>
      <c r="O32" s="161"/>
      <c r="P32" s="161"/>
      <c r="Q32" s="161"/>
      <c r="S32" s="1">
        <v>700734.24</v>
      </c>
    </row>
    <row r="33" spans="1:23" ht="12" customHeight="1" x14ac:dyDescent="0.2">
      <c r="C33" s="161" t="s">
        <v>189</v>
      </c>
      <c r="D33" s="161"/>
      <c r="E33" s="161"/>
      <c r="F33" s="161"/>
      <c r="H33" s="161" t="s">
        <v>190</v>
      </c>
      <c r="I33" s="161"/>
      <c r="J33" s="161"/>
      <c r="K33" s="161"/>
      <c r="L33" s="161"/>
      <c r="M33" s="161"/>
      <c r="N33" s="161"/>
      <c r="O33" s="161"/>
      <c r="P33" s="161"/>
      <c r="Q33" s="161"/>
      <c r="S33" s="1">
        <v>134.07</v>
      </c>
    </row>
    <row r="34" spans="1:23" ht="12" customHeight="1" x14ac:dyDescent="0.2">
      <c r="C34" s="161" t="s">
        <v>121</v>
      </c>
      <c r="D34" s="161"/>
      <c r="E34" s="161"/>
      <c r="F34" s="161"/>
      <c r="H34" s="161" t="s">
        <v>191</v>
      </c>
      <c r="I34" s="161"/>
      <c r="J34" s="161"/>
      <c r="K34" s="161"/>
      <c r="L34" s="161"/>
      <c r="M34" s="161"/>
      <c r="N34" s="161"/>
      <c r="O34" s="161"/>
      <c r="P34" s="161"/>
      <c r="Q34" s="161"/>
      <c r="S34" s="1">
        <v>18688.75</v>
      </c>
    </row>
    <row r="35" spans="1:23" ht="12" customHeight="1" x14ac:dyDescent="0.2">
      <c r="C35" s="161" t="s">
        <v>129</v>
      </c>
      <c r="D35" s="161"/>
      <c r="E35" s="161"/>
      <c r="F35" s="161"/>
      <c r="H35" s="161" t="s">
        <v>192</v>
      </c>
      <c r="I35" s="161"/>
      <c r="J35" s="161"/>
      <c r="K35" s="161"/>
      <c r="L35" s="161"/>
      <c r="M35" s="161"/>
      <c r="N35" s="161"/>
      <c r="O35" s="161"/>
      <c r="P35" s="161"/>
      <c r="Q35" s="161"/>
      <c r="S35" s="1">
        <v>13819.26</v>
      </c>
    </row>
    <row r="36" spans="1:23" ht="12" customHeight="1" x14ac:dyDescent="0.2">
      <c r="C36" s="161" t="s">
        <v>131</v>
      </c>
      <c r="D36" s="161"/>
      <c r="E36" s="161"/>
      <c r="F36" s="161"/>
      <c r="H36" s="161" t="s">
        <v>193</v>
      </c>
      <c r="I36" s="161"/>
      <c r="J36" s="161"/>
      <c r="K36" s="161"/>
      <c r="L36" s="161"/>
      <c r="M36" s="161"/>
      <c r="N36" s="161"/>
      <c r="O36" s="161"/>
      <c r="P36" s="161"/>
      <c r="Q36" s="161"/>
      <c r="S36" s="1">
        <v>12476.5</v>
      </c>
    </row>
    <row r="37" spans="1:23" ht="12" customHeight="1" x14ac:dyDescent="0.2">
      <c r="C37" s="161" t="s">
        <v>228</v>
      </c>
      <c r="D37" s="161"/>
      <c r="E37" s="161"/>
      <c r="F37" s="161"/>
      <c r="H37" s="161" t="s">
        <v>236</v>
      </c>
      <c r="I37" s="161"/>
      <c r="J37" s="161"/>
      <c r="K37" s="161"/>
      <c r="L37" s="161"/>
      <c r="M37" s="161"/>
      <c r="N37" s="161"/>
      <c r="O37" s="161"/>
      <c r="P37" s="161"/>
      <c r="Q37" s="161"/>
      <c r="S37" s="1">
        <v>263</v>
      </c>
    </row>
    <row r="38" spans="1:23" ht="12" customHeight="1" x14ac:dyDescent="0.2">
      <c r="C38" s="161" t="s">
        <v>237</v>
      </c>
      <c r="D38" s="161"/>
      <c r="E38" s="161"/>
      <c r="F38" s="161"/>
      <c r="H38" s="161" t="s">
        <v>206</v>
      </c>
      <c r="I38" s="161"/>
      <c r="J38" s="161"/>
      <c r="K38" s="161"/>
      <c r="L38" s="161"/>
      <c r="M38" s="161"/>
      <c r="N38" s="161"/>
      <c r="O38" s="161"/>
      <c r="P38" s="161"/>
      <c r="Q38" s="161"/>
      <c r="S38" s="1">
        <v>33950.449999999997</v>
      </c>
    </row>
    <row r="39" spans="1:23" ht="12" customHeight="1" x14ac:dyDescent="0.2">
      <c r="H39" s="162" t="s">
        <v>149</v>
      </c>
      <c r="I39" s="162"/>
      <c r="J39" s="162"/>
      <c r="K39" s="162"/>
      <c r="L39" s="162"/>
      <c r="M39" s="162"/>
      <c r="N39" s="162"/>
      <c r="O39" s="162"/>
      <c r="P39" s="162"/>
      <c r="S39" s="1"/>
      <c r="U39" s="163">
        <f>SUM(S32:S38)</f>
        <v>780066.2699999999</v>
      </c>
      <c r="V39" s="163"/>
      <c r="W39" s="163"/>
    </row>
    <row r="40" spans="1:23" ht="12" customHeight="1" x14ac:dyDescent="0.2">
      <c r="I40" s="162" t="s">
        <v>160</v>
      </c>
      <c r="J40" s="162"/>
      <c r="K40" s="162"/>
      <c r="L40" s="162"/>
      <c r="M40" s="162"/>
      <c r="N40" s="162"/>
      <c r="O40" s="162"/>
      <c r="P40" s="162"/>
      <c r="S40" s="1"/>
      <c r="U40" s="171">
        <f>U39</f>
        <v>780066.2699999999</v>
      </c>
      <c r="V40" s="171"/>
      <c r="W40" s="171"/>
    </row>
    <row r="41" spans="1:23" ht="12" customHeight="1" x14ac:dyDescent="0.2">
      <c r="S41" s="1"/>
      <c r="U41" s="163"/>
      <c r="V41" s="163"/>
      <c r="W41" s="163"/>
    </row>
    <row r="42" spans="1:23" ht="12" customHeight="1" x14ac:dyDescent="0.2">
      <c r="A42" s="162" t="s">
        <v>161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S42" s="1"/>
      <c r="U42" s="163"/>
      <c r="V42" s="163"/>
      <c r="W42" s="163"/>
    </row>
    <row r="43" spans="1:23" ht="12" customHeight="1" x14ac:dyDescent="0.2">
      <c r="S43" s="1"/>
      <c r="U43" s="163"/>
      <c r="V43" s="163"/>
      <c r="W43" s="163"/>
    </row>
    <row r="44" spans="1:23" ht="12" customHeight="1" x14ac:dyDescent="0.2">
      <c r="C44" s="161" t="s">
        <v>166</v>
      </c>
      <c r="D44" s="161"/>
      <c r="E44" s="161"/>
      <c r="F44" s="161"/>
      <c r="H44" s="161" t="s">
        <v>167</v>
      </c>
      <c r="I44" s="161"/>
      <c r="J44" s="161"/>
      <c r="K44" s="161"/>
      <c r="L44" s="161"/>
      <c r="M44" s="161"/>
      <c r="N44" s="161"/>
      <c r="O44" s="161"/>
      <c r="P44" s="161"/>
      <c r="Q44" s="161"/>
      <c r="S44" s="1">
        <v>232284.16</v>
      </c>
      <c r="U44" s="163"/>
      <c r="V44" s="163"/>
      <c r="W44" s="163"/>
    </row>
    <row r="45" spans="1:23" ht="12" customHeight="1" x14ac:dyDescent="0.2">
      <c r="C45" s="161" t="s">
        <v>166</v>
      </c>
      <c r="D45" s="161"/>
      <c r="E45" s="161"/>
      <c r="F45" s="161"/>
      <c r="H45" s="161" t="s">
        <v>194</v>
      </c>
      <c r="I45" s="161"/>
      <c r="J45" s="161"/>
      <c r="K45" s="161"/>
      <c r="L45" s="161"/>
      <c r="M45" s="161"/>
      <c r="N45" s="161"/>
      <c r="O45" s="161"/>
      <c r="P45" s="161"/>
      <c r="Q45" s="161"/>
      <c r="S45" s="1">
        <v>1854902.66</v>
      </c>
      <c r="U45" s="163"/>
      <c r="V45" s="163"/>
      <c r="W45" s="163"/>
    </row>
    <row r="46" spans="1:23" ht="12" customHeight="1" x14ac:dyDescent="0.2">
      <c r="U46" s="163"/>
      <c r="V46" s="163"/>
      <c r="W46" s="163"/>
    </row>
    <row r="47" spans="1:23" ht="12" customHeight="1" x14ac:dyDescent="0.2">
      <c r="I47" s="162" t="s">
        <v>177</v>
      </c>
      <c r="J47" s="162"/>
      <c r="K47" s="162"/>
      <c r="L47" s="162"/>
      <c r="M47" s="162"/>
      <c r="N47" s="162"/>
      <c r="O47" s="162"/>
      <c r="P47" s="162"/>
      <c r="U47" s="171">
        <f>SUM(S44:S45)</f>
        <v>2087186.8199999998</v>
      </c>
      <c r="V47" s="171"/>
      <c r="W47" s="171"/>
    </row>
    <row r="48" spans="1:23" ht="12" customHeight="1" x14ac:dyDescent="0.2">
      <c r="U48" s="163"/>
      <c r="V48" s="163"/>
      <c r="W48" s="163"/>
    </row>
    <row r="49" spans="1:23" ht="12" customHeight="1" x14ac:dyDescent="0.2">
      <c r="I49" s="162" t="s">
        <v>178</v>
      </c>
      <c r="J49" s="162"/>
      <c r="K49" s="162"/>
      <c r="L49" s="162"/>
      <c r="M49" s="162"/>
      <c r="N49" s="162"/>
      <c r="O49" s="162"/>
      <c r="P49" s="162"/>
      <c r="U49" s="163"/>
      <c r="V49" s="163"/>
      <c r="W49" s="163"/>
    </row>
    <row r="50" spans="1:23" ht="12" customHeight="1" thickBot="1" x14ac:dyDescent="0.25">
      <c r="I50" s="162"/>
      <c r="J50" s="162"/>
      <c r="K50" s="162"/>
      <c r="L50" s="162"/>
      <c r="M50" s="162"/>
      <c r="N50" s="162"/>
      <c r="O50" s="162"/>
      <c r="P50" s="162"/>
      <c r="U50" s="187">
        <f>U40+U47</f>
        <v>2867253.09</v>
      </c>
      <c r="V50" s="187"/>
      <c r="W50" s="187"/>
    </row>
    <row r="51" spans="1:23" ht="12" customHeight="1" thickTop="1" x14ac:dyDescent="0.2">
      <c r="U51" s="163"/>
      <c r="V51" s="163"/>
      <c r="W51" s="163"/>
    </row>
    <row r="52" spans="1:23" ht="12" customHeight="1" x14ac:dyDescent="0.2">
      <c r="S52" t="s">
        <v>400</v>
      </c>
      <c r="V52" s="45">
        <f>U27-U50</f>
        <v>0</v>
      </c>
    </row>
    <row r="53" spans="1:23" ht="12" customHeight="1" x14ac:dyDescent="0.2"/>
    <row r="54" spans="1:23" ht="12" customHeight="1" x14ac:dyDescent="0.2">
      <c r="A54" s="172"/>
      <c r="B54" s="172"/>
      <c r="C54" s="172"/>
      <c r="D54" s="172"/>
      <c r="F54" s="174"/>
      <c r="G54" s="174"/>
      <c r="H54" s="174"/>
      <c r="I54" s="174"/>
      <c r="J54" s="174"/>
      <c r="V54" s="3"/>
      <c r="W54" s="4"/>
    </row>
    <row r="55" spans="1:23" ht="12" customHeight="1" x14ac:dyDescent="0.2">
      <c r="A55" s="172"/>
      <c r="B55" s="172"/>
      <c r="C55" s="172"/>
      <c r="D55" s="172"/>
      <c r="F55" s="173"/>
      <c r="G55" s="173"/>
      <c r="H55" s="173"/>
      <c r="I55" s="173"/>
    </row>
    <row r="56" spans="1:23" ht="12" customHeight="1" x14ac:dyDescent="0.2"/>
    <row r="57" spans="1:23" ht="12" customHeight="1" x14ac:dyDescent="0.2"/>
    <row r="58" spans="1:23" ht="12" customHeight="1" x14ac:dyDescent="0.2"/>
    <row r="59" spans="1:23" ht="12" customHeight="1" x14ac:dyDescent="0.2"/>
  </sheetData>
  <mergeCells count="85"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  <mergeCell ref="C12:F12"/>
    <mergeCell ref="H12:Q12"/>
    <mergeCell ref="C14:F14"/>
    <mergeCell ref="H14:Q14"/>
    <mergeCell ref="C13:F13"/>
    <mergeCell ref="H13:Q13"/>
    <mergeCell ref="C15:F15"/>
    <mergeCell ref="H15:Q15"/>
    <mergeCell ref="C16:F16"/>
    <mergeCell ref="H16:Q16"/>
    <mergeCell ref="C17:F17"/>
    <mergeCell ref="H17:Q17"/>
    <mergeCell ref="C19:F19"/>
    <mergeCell ref="H19:Q19"/>
    <mergeCell ref="H20:P20"/>
    <mergeCell ref="U20:W20"/>
    <mergeCell ref="B22:K22"/>
    <mergeCell ref="C23:F23"/>
    <mergeCell ref="H23:Q23"/>
    <mergeCell ref="C24:F24"/>
    <mergeCell ref="H24:Q24"/>
    <mergeCell ref="C25:F25"/>
    <mergeCell ref="H25:Q25"/>
    <mergeCell ref="H26:P26"/>
    <mergeCell ref="U26:W26"/>
    <mergeCell ref="I27:P27"/>
    <mergeCell ref="U27:W27"/>
    <mergeCell ref="A29:M29"/>
    <mergeCell ref="B31:K31"/>
    <mergeCell ref="C32:F32"/>
    <mergeCell ref="H32:Q32"/>
    <mergeCell ref="C33:F33"/>
    <mergeCell ref="H33:Q33"/>
    <mergeCell ref="C34:F34"/>
    <mergeCell ref="H34:Q34"/>
    <mergeCell ref="C35:F35"/>
    <mergeCell ref="H35:Q35"/>
    <mergeCell ref="C36:F36"/>
    <mergeCell ref="H36:Q36"/>
    <mergeCell ref="C37:F37"/>
    <mergeCell ref="H37:Q37"/>
    <mergeCell ref="C38:F38"/>
    <mergeCell ref="H38:Q38"/>
    <mergeCell ref="H39:P39"/>
    <mergeCell ref="C44:F44"/>
    <mergeCell ref="H44:Q44"/>
    <mergeCell ref="U41:W41"/>
    <mergeCell ref="U42:W42"/>
    <mergeCell ref="U43:W43"/>
    <mergeCell ref="A55:D55"/>
    <mergeCell ref="F55:I55"/>
    <mergeCell ref="C45:F45"/>
    <mergeCell ref="H45:Q45"/>
    <mergeCell ref="I47:P47"/>
    <mergeCell ref="I49:P50"/>
    <mergeCell ref="C18:F18"/>
    <mergeCell ref="H18:Q18"/>
    <mergeCell ref="U44:W44"/>
    <mergeCell ref="A54:D54"/>
    <mergeCell ref="F54:J54"/>
    <mergeCell ref="U45:W45"/>
    <mergeCell ref="U46:W46"/>
    <mergeCell ref="U48:W48"/>
    <mergeCell ref="U49:W49"/>
    <mergeCell ref="U50:W50"/>
    <mergeCell ref="U51:W51"/>
    <mergeCell ref="U47:W47"/>
    <mergeCell ref="U39:W39"/>
    <mergeCell ref="I40:P40"/>
    <mergeCell ref="U40:W40"/>
    <mergeCell ref="A42:M42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  <outlinePr summaryBelow="0"/>
    <pageSetUpPr autoPageBreaks="0"/>
  </sheetPr>
  <dimension ref="A1:AB93"/>
  <sheetViews>
    <sheetView showGridLines="0" topLeftCell="G1" zoomScaleNormal="100" workbookViewId="0">
      <selection activeCell="S56" sqref="S56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  <col min="25" max="28" width="0" hidden="1" customWidth="1"/>
  </cols>
  <sheetData>
    <row r="1" spans="1:28" ht="12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AB1" s="106" t="s">
        <v>0</v>
      </c>
    </row>
    <row r="2" spans="1:28" ht="12" customHeight="1" x14ac:dyDescent="0.2">
      <c r="A2" s="188" t="s">
        <v>516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</row>
    <row r="3" spans="1:28" ht="12" customHeight="1" x14ac:dyDescent="0.2">
      <c r="A3" s="170" t="s">
        <v>195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AB3" s="106" t="s">
        <v>515</v>
      </c>
    </row>
    <row r="4" spans="1:28" ht="12" customHeight="1" x14ac:dyDescent="0.2">
      <c r="A4" s="162" t="s">
        <v>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AB4" s="122" t="s">
        <v>195</v>
      </c>
    </row>
    <row r="5" spans="1:28" ht="12" customHeight="1" x14ac:dyDescent="0.2">
      <c r="B5" s="162" t="s">
        <v>3</v>
      </c>
      <c r="C5" s="162"/>
      <c r="D5" s="162"/>
      <c r="E5" s="162"/>
      <c r="F5" s="162"/>
      <c r="G5" s="162"/>
      <c r="H5" s="162"/>
      <c r="I5" s="162"/>
      <c r="J5" s="162"/>
      <c r="K5" s="162"/>
      <c r="S5" s="136">
        <v>43039</v>
      </c>
    </row>
    <row r="6" spans="1:28" ht="12" customHeight="1" x14ac:dyDescent="0.2"/>
    <row r="7" spans="1:28" ht="12" customHeight="1" x14ac:dyDescent="0.2">
      <c r="C7" s="161" t="s">
        <v>6</v>
      </c>
      <c r="D7" s="161"/>
      <c r="E7" s="161"/>
      <c r="F7" s="161"/>
      <c r="H7" s="161" t="s">
        <v>196</v>
      </c>
      <c r="I7" s="161"/>
      <c r="J7" s="161"/>
      <c r="K7" s="161"/>
      <c r="L7" s="161"/>
      <c r="M7" s="161"/>
      <c r="N7" s="161"/>
      <c r="O7" s="161"/>
      <c r="P7" s="161"/>
      <c r="Q7" s="161"/>
      <c r="S7" s="1">
        <v>342537.71</v>
      </c>
      <c r="AB7" s="121" t="s">
        <v>2</v>
      </c>
    </row>
    <row r="8" spans="1:28" ht="12" customHeight="1" x14ac:dyDescent="0.2">
      <c r="C8" s="161" t="s">
        <v>16</v>
      </c>
      <c r="D8" s="161"/>
      <c r="E8" s="161"/>
      <c r="F8" s="161"/>
      <c r="H8" s="161" t="s">
        <v>17</v>
      </c>
      <c r="I8" s="161"/>
      <c r="J8" s="161"/>
      <c r="K8" s="161"/>
      <c r="L8" s="161"/>
      <c r="M8" s="161"/>
      <c r="N8" s="161"/>
      <c r="O8" s="161"/>
      <c r="P8" s="161"/>
      <c r="Q8" s="161"/>
      <c r="S8" s="1">
        <v>38902.949999999997</v>
      </c>
    </row>
    <row r="9" spans="1:28" ht="12" customHeight="1" x14ac:dyDescent="0.2">
      <c r="C9" s="161" t="s">
        <v>40</v>
      </c>
      <c r="D9" s="161"/>
      <c r="E9" s="161"/>
      <c r="F9" s="161"/>
      <c r="H9" s="161" t="s">
        <v>61</v>
      </c>
      <c r="I9" s="161"/>
      <c r="J9" s="161"/>
      <c r="K9" s="161"/>
      <c r="L9" s="161"/>
      <c r="M9" s="161"/>
      <c r="N9" s="161"/>
      <c r="O9" s="161"/>
      <c r="P9" s="161"/>
      <c r="Q9" s="161"/>
      <c r="S9" s="1">
        <v>0</v>
      </c>
    </row>
    <row r="10" spans="1:28" ht="12" customHeight="1" x14ac:dyDescent="0.2">
      <c r="C10" s="161" t="s">
        <v>183</v>
      </c>
      <c r="D10" s="161"/>
      <c r="E10" s="161"/>
      <c r="F10" s="161"/>
      <c r="H10" s="161" t="s">
        <v>184</v>
      </c>
      <c r="I10" s="161"/>
      <c r="J10" s="161"/>
      <c r="K10" s="161"/>
      <c r="L10" s="161"/>
      <c r="M10" s="161"/>
      <c r="N10" s="161"/>
      <c r="O10" s="161"/>
      <c r="P10" s="161"/>
      <c r="Q10" s="161"/>
      <c r="S10" s="1">
        <v>2493000</v>
      </c>
    </row>
    <row r="11" spans="1:28" ht="12" customHeight="1" x14ac:dyDescent="0.2">
      <c r="C11" s="161" t="s">
        <v>46</v>
      </c>
      <c r="D11" s="161"/>
      <c r="E11" s="161"/>
      <c r="F11" s="161"/>
      <c r="H11" s="161" t="s">
        <v>197</v>
      </c>
      <c r="I11" s="161"/>
      <c r="J11" s="161"/>
      <c r="K11" s="161"/>
      <c r="L11" s="161"/>
      <c r="M11" s="161"/>
      <c r="N11" s="161"/>
      <c r="O11" s="161"/>
      <c r="P11" s="161"/>
      <c r="Q11" s="161"/>
      <c r="S11" s="1">
        <v>7854</v>
      </c>
    </row>
    <row r="12" spans="1:28" ht="12" customHeight="1" x14ac:dyDescent="0.2">
      <c r="C12" s="161" t="s">
        <v>48</v>
      </c>
      <c r="D12" s="161"/>
      <c r="E12" s="161"/>
      <c r="F12" s="161"/>
      <c r="H12" s="161" t="s">
        <v>49</v>
      </c>
      <c r="I12" s="161"/>
      <c r="J12" s="161"/>
      <c r="K12" s="161"/>
      <c r="L12" s="161"/>
      <c r="M12" s="161"/>
      <c r="N12" s="161"/>
      <c r="O12" s="161"/>
      <c r="P12" s="161"/>
      <c r="Q12" s="161"/>
      <c r="S12" s="1">
        <v>108190.96</v>
      </c>
    </row>
    <row r="13" spans="1:28" ht="12" customHeight="1" x14ac:dyDescent="0.2">
      <c r="C13" s="161" t="s">
        <v>56</v>
      </c>
      <c r="D13" s="161"/>
      <c r="E13" s="161"/>
      <c r="F13" s="161"/>
      <c r="H13" s="161" t="s">
        <v>59</v>
      </c>
      <c r="I13" s="161"/>
      <c r="J13" s="161"/>
      <c r="K13" s="161"/>
      <c r="L13" s="161"/>
      <c r="M13" s="161"/>
      <c r="N13" s="161"/>
      <c r="O13" s="161"/>
      <c r="P13" s="161"/>
      <c r="Q13" s="161"/>
      <c r="S13" s="1">
        <v>0</v>
      </c>
    </row>
    <row r="14" spans="1:28" ht="12" customHeight="1" x14ac:dyDescent="0.2">
      <c r="C14" s="161" t="s">
        <v>198</v>
      </c>
      <c r="D14" s="161"/>
      <c r="E14" s="161"/>
      <c r="F14" s="161"/>
      <c r="H14" s="161" t="s">
        <v>199</v>
      </c>
      <c r="I14" s="161"/>
      <c r="J14" s="161"/>
      <c r="K14" s="161"/>
      <c r="L14" s="161"/>
      <c r="M14" s="161"/>
      <c r="N14" s="161"/>
      <c r="O14" s="161"/>
      <c r="P14" s="161"/>
      <c r="Q14" s="161"/>
      <c r="S14" s="1">
        <v>220878.11</v>
      </c>
    </row>
    <row r="15" spans="1:28" ht="12" customHeight="1" x14ac:dyDescent="0.2">
      <c r="C15" s="161" t="s">
        <v>58</v>
      </c>
      <c r="D15" s="161"/>
      <c r="E15" s="161"/>
      <c r="F15" s="161"/>
      <c r="H15" s="161" t="s">
        <v>59</v>
      </c>
      <c r="I15" s="161"/>
      <c r="J15" s="161"/>
      <c r="K15" s="161"/>
      <c r="L15" s="161"/>
      <c r="M15" s="161"/>
      <c r="N15" s="161"/>
      <c r="O15" s="161"/>
      <c r="P15" s="161"/>
      <c r="Q15" s="161"/>
      <c r="S15" s="1">
        <v>192.95</v>
      </c>
    </row>
    <row r="16" spans="1:28" ht="12" customHeight="1" x14ac:dyDescent="0.2">
      <c r="C16" s="161" t="s">
        <v>200</v>
      </c>
      <c r="D16" s="161"/>
      <c r="E16" s="161"/>
      <c r="F16" s="161"/>
      <c r="H16" s="161" t="s">
        <v>201</v>
      </c>
      <c r="I16" s="161"/>
      <c r="J16" s="161"/>
      <c r="K16" s="161"/>
      <c r="L16" s="161"/>
      <c r="M16" s="161"/>
      <c r="N16" s="161"/>
      <c r="O16" s="161"/>
      <c r="P16" s="161"/>
      <c r="Q16" s="161"/>
      <c r="S16" s="2">
        <v>160390.79999999999</v>
      </c>
    </row>
    <row r="17" spans="1:23" ht="12" customHeight="1" x14ac:dyDescent="0.2">
      <c r="H17" s="162" t="s">
        <v>73</v>
      </c>
      <c r="I17" s="162"/>
      <c r="J17" s="162"/>
      <c r="K17" s="162"/>
      <c r="L17" s="162"/>
      <c r="M17" s="162"/>
      <c r="N17" s="162"/>
      <c r="O17" s="162"/>
      <c r="P17" s="162"/>
      <c r="U17" s="163">
        <f>SUM(S7:S16)</f>
        <v>3371947.48</v>
      </c>
      <c r="V17" s="163"/>
      <c r="W17" s="163"/>
    </row>
    <row r="18" spans="1:23" ht="12" customHeight="1" x14ac:dyDescent="0.2"/>
    <row r="19" spans="1:23" ht="12" customHeight="1" x14ac:dyDescent="0.2">
      <c r="B19" s="162" t="s">
        <v>74</v>
      </c>
      <c r="C19" s="162"/>
      <c r="D19" s="162"/>
      <c r="E19" s="162"/>
      <c r="F19" s="162"/>
      <c r="G19" s="162"/>
      <c r="H19" s="162"/>
      <c r="I19" s="162"/>
      <c r="J19" s="162"/>
      <c r="K19" s="162"/>
    </row>
    <row r="20" spans="1:23" ht="12" customHeight="1" x14ac:dyDescent="0.2">
      <c r="C20" s="161" t="s">
        <v>75</v>
      </c>
      <c r="D20" s="161"/>
      <c r="E20" s="161"/>
      <c r="F20" s="161"/>
      <c r="H20" s="161" t="s">
        <v>187</v>
      </c>
      <c r="I20" s="161"/>
      <c r="J20" s="161"/>
      <c r="K20" s="161"/>
      <c r="L20" s="161"/>
      <c r="M20" s="161"/>
      <c r="N20" s="161"/>
      <c r="O20" s="161"/>
      <c r="P20" s="161"/>
      <c r="Q20" s="161"/>
      <c r="S20" s="1">
        <v>135293.78</v>
      </c>
    </row>
    <row r="21" spans="1:23" ht="12" customHeight="1" x14ac:dyDescent="0.2">
      <c r="C21" s="161" t="s">
        <v>81</v>
      </c>
      <c r="D21" s="161"/>
      <c r="E21" s="161"/>
      <c r="F21" s="161"/>
      <c r="H21" s="161" t="s">
        <v>202</v>
      </c>
      <c r="I21" s="161"/>
      <c r="J21" s="161"/>
      <c r="K21" s="161"/>
      <c r="L21" s="161"/>
      <c r="M21" s="161"/>
      <c r="N21" s="161"/>
      <c r="O21" s="161"/>
      <c r="P21" s="161"/>
      <c r="Q21" s="161"/>
      <c r="S21" s="1">
        <v>193555.25</v>
      </c>
    </row>
    <row r="22" spans="1:23" ht="12" customHeight="1" x14ac:dyDescent="0.2">
      <c r="C22" s="161" t="s">
        <v>87</v>
      </c>
      <c r="D22" s="161"/>
      <c r="E22" s="161"/>
      <c r="F22" s="161"/>
      <c r="H22" s="161" t="s">
        <v>88</v>
      </c>
      <c r="I22" s="161"/>
      <c r="J22" s="161"/>
      <c r="K22" s="161"/>
      <c r="L22" s="161"/>
      <c r="M22" s="161"/>
      <c r="N22" s="161"/>
      <c r="O22" s="161"/>
      <c r="P22" s="161"/>
      <c r="Q22" s="161"/>
      <c r="S22" s="1">
        <v>688928.84</v>
      </c>
    </row>
    <row r="23" spans="1:23" ht="12" customHeight="1" x14ac:dyDescent="0.2">
      <c r="C23" s="161" t="s">
        <v>99</v>
      </c>
      <c r="D23" s="161"/>
      <c r="E23" s="161"/>
      <c r="F23" s="161"/>
      <c r="H23" s="161" t="s">
        <v>188</v>
      </c>
      <c r="I23" s="161"/>
      <c r="J23" s="161"/>
      <c r="K23" s="161"/>
      <c r="L23" s="161"/>
      <c r="M23" s="161"/>
      <c r="N23" s="161"/>
      <c r="O23" s="161"/>
      <c r="P23" s="161"/>
      <c r="Q23" s="161"/>
      <c r="S23" s="2">
        <v>-448708.12</v>
      </c>
    </row>
    <row r="24" spans="1:23" ht="12" customHeight="1" x14ac:dyDescent="0.2">
      <c r="H24" s="162" t="s">
        <v>103</v>
      </c>
      <c r="I24" s="162"/>
      <c r="J24" s="162"/>
      <c r="K24" s="162"/>
      <c r="L24" s="162"/>
      <c r="M24" s="162"/>
      <c r="N24" s="162"/>
      <c r="O24" s="162"/>
      <c r="P24" s="162"/>
      <c r="U24" s="167">
        <f>SUM(S20:S23)</f>
        <v>569069.75</v>
      </c>
      <c r="V24" s="167"/>
      <c r="W24" s="167"/>
    </row>
    <row r="25" spans="1:23" ht="12" customHeight="1" thickBot="1" x14ac:dyDescent="0.25">
      <c r="I25" s="162" t="s">
        <v>104</v>
      </c>
      <c r="J25" s="162"/>
      <c r="K25" s="162"/>
      <c r="L25" s="162"/>
      <c r="M25" s="162"/>
      <c r="N25" s="162"/>
      <c r="O25" s="162"/>
      <c r="P25" s="162"/>
      <c r="U25" s="168">
        <f>U24+U17</f>
        <v>3941017.23</v>
      </c>
      <c r="V25" s="168"/>
      <c r="W25" s="168"/>
    </row>
    <row r="26" spans="1:23" ht="12" customHeight="1" thickTop="1" x14ac:dyDescent="0.2"/>
    <row r="27" spans="1:23" ht="12" customHeight="1" x14ac:dyDescent="0.2">
      <c r="A27" s="162" t="s">
        <v>105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</row>
    <row r="28" spans="1:23" ht="12" customHeight="1" x14ac:dyDescent="0.2">
      <c r="B28" s="162" t="s">
        <v>106</v>
      </c>
      <c r="C28" s="162"/>
      <c r="D28" s="162"/>
      <c r="E28" s="162"/>
      <c r="F28" s="162"/>
      <c r="G28" s="162"/>
      <c r="H28" s="162"/>
      <c r="I28" s="162"/>
      <c r="J28" s="162"/>
      <c r="K28" s="162"/>
    </row>
    <row r="29" spans="1:23" ht="12" customHeight="1" x14ac:dyDescent="0.2">
      <c r="C29" s="161" t="s">
        <v>109</v>
      </c>
      <c r="D29" s="161"/>
      <c r="E29" s="161"/>
      <c r="F29" s="161"/>
      <c r="H29" s="161" t="s">
        <v>110</v>
      </c>
      <c r="I29" s="161"/>
      <c r="J29" s="161"/>
      <c r="K29" s="161"/>
      <c r="L29" s="161"/>
      <c r="M29" s="161"/>
      <c r="N29" s="161"/>
      <c r="O29" s="161"/>
      <c r="P29" s="161"/>
      <c r="Q29" s="161"/>
      <c r="S29" s="1">
        <v>0</v>
      </c>
    </row>
    <row r="30" spans="1:23" ht="12.75" customHeight="1" x14ac:dyDescent="0.2">
      <c r="C30" s="161" t="s">
        <v>111</v>
      </c>
      <c r="D30" s="161"/>
      <c r="E30" s="161"/>
      <c r="F30" s="161"/>
      <c r="H30" s="161" t="s">
        <v>238</v>
      </c>
      <c r="I30" s="161"/>
      <c r="J30" s="161"/>
      <c r="K30" s="161"/>
      <c r="L30" s="161"/>
      <c r="M30" s="161"/>
      <c r="N30" s="161"/>
      <c r="O30" s="161"/>
      <c r="P30" s="161"/>
      <c r="Q30" s="161"/>
      <c r="S30" s="1">
        <v>57.54</v>
      </c>
    </row>
    <row r="31" spans="1:23" ht="12" customHeight="1" x14ac:dyDescent="0.2">
      <c r="C31" s="161" t="s">
        <v>226</v>
      </c>
      <c r="D31" s="161"/>
      <c r="E31" s="161"/>
      <c r="F31" s="161"/>
      <c r="H31" s="161" t="s">
        <v>239</v>
      </c>
      <c r="I31" s="161"/>
      <c r="J31" s="161"/>
      <c r="K31" s="161"/>
      <c r="L31" s="161"/>
      <c r="M31" s="161"/>
      <c r="N31" s="161"/>
      <c r="O31" s="161"/>
      <c r="P31" s="161"/>
      <c r="Q31" s="161"/>
      <c r="S31" s="1">
        <v>0</v>
      </c>
    </row>
    <row r="32" spans="1:23" ht="12" customHeight="1" x14ac:dyDescent="0.2">
      <c r="C32" s="161" t="s">
        <v>113</v>
      </c>
      <c r="D32" s="161"/>
      <c r="E32" s="161"/>
      <c r="F32" s="161"/>
      <c r="H32" s="161" t="s">
        <v>240</v>
      </c>
      <c r="I32" s="161"/>
      <c r="J32" s="161"/>
      <c r="K32" s="161"/>
      <c r="L32" s="161"/>
      <c r="M32" s="161"/>
      <c r="N32" s="161"/>
      <c r="O32" s="161"/>
      <c r="P32" s="161"/>
      <c r="Q32" s="161"/>
      <c r="S32" s="1">
        <v>-876.99</v>
      </c>
    </row>
    <row r="33" spans="1:28" ht="12" customHeight="1" x14ac:dyDescent="0.2">
      <c r="C33" s="161" t="s">
        <v>117</v>
      </c>
      <c r="D33" s="161"/>
      <c r="E33" s="161"/>
      <c r="F33" s="161"/>
      <c r="H33" s="161" t="s">
        <v>118</v>
      </c>
      <c r="I33" s="161"/>
      <c r="J33" s="161"/>
      <c r="K33" s="161"/>
      <c r="L33" s="161"/>
      <c r="M33" s="161"/>
      <c r="N33" s="161"/>
      <c r="O33" s="161"/>
      <c r="P33" s="161"/>
      <c r="Q33" s="161"/>
      <c r="S33" s="1">
        <v>80</v>
      </c>
    </row>
    <row r="34" spans="1:28" ht="12" customHeight="1" x14ac:dyDescent="0.2">
      <c r="C34" s="161" t="s">
        <v>119</v>
      </c>
      <c r="D34" s="161"/>
      <c r="E34" s="161"/>
      <c r="F34" s="161"/>
      <c r="H34" s="161" t="s">
        <v>191</v>
      </c>
      <c r="I34" s="161"/>
      <c r="J34" s="161"/>
      <c r="K34" s="161"/>
      <c r="L34" s="161"/>
      <c r="M34" s="161"/>
      <c r="N34" s="161"/>
      <c r="O34" s="161"/>
      <c r="P34" s="161"/>
      <c r="Q34" s="161"/>
      <c r="S34" s="1">
        <v>16127.5</v>
      </c>
    </row>
    <row r="35" spans="1:28" ht="12.75" customHeight="1" x14ac:dyDescent="0.2">
      <c r="C35" s="161" t="s">
        <v>125</v>
      </c>
      <c r="D35" s="161"/>
      <c r="E35" s="161"/>
      <c r="F35" s="161"/>
      <c r="H35" s="161" t="s">
        <v>203</v>
      </c>
      <c r="I35" s="161"/>
      <c r="J35" s="161"/>
      <c r="K35" s="161"/>
      <c r="L35" s="161"/>
      <c r="M35" s="161"/>
      <c r="N35" s="161"/>
      <c r="O35" s="161"/>
      <c r="P35" s="161"/>
      <c r="Q35" s="161"/>
      <c r="S35" s="1">
        <v>3640</v>
      </c>
    </row>
    <row r="36" spans="1:28" ht="12" customHeight="1" x14ac:dyDescent="0.2">
      <c r="C36" s="161" t="s">
        <v>127</v>
      </c>
      <c r="D36" s="161"/>
      <c r="E36" s="161"/>
      <c r="F36" s="161"/>
      <c r="H36" s="161" t="s">
        <v>204</v>
      </c>
      <c r="I36" s="161"/>
      <c r="J36" s="161"/>
      <c r="K36" s="161"/>
      <c r="L36" s="161"/>
      <c r="M36" s="161"/>
      <c r="N36" s="161"/>
      <c r="O36" s="161"/>
      <c r="P36" s="161"/>
      <c r="Q36" s="161"/>
      <c r="S36" s="1">
        <v>2851.79</v>
      </c>
    </row>
    <row r="37" spans="1:28" ht="12" customHeight="1" x14ac:dyDescent="0.2">
      <c r="C37" s="161" t="s">
        <v>129</v>
      </c>
      <c r="D37" s="161"/>
      <c r="E37" s="161"/>
      <c r="F37" s="161"/>
      <c r="H37" s="161" t="s">
        <v>192</v>
      </c>
      <c r="I37" s="161"/>
      <c r="J37" s="161"/>
      <c r="K37" s="161"/>
      <c r="L37" s="161"/>
      <c r="M37" s="161"/>
      <c r="N37" s="161"/>
      <c r="O37" s="161"/>
      <c r="P37" s="161"/>
      <c r="Q37" s="161"/>
      <c r="S37" s="44">
        <v>0</v>
      </c>
    </row>
    <row r="38" spans="1:28" ht="12" customHeight="1" x14ac:dyDescent="0.2">
      <c r="H38" s="162" t="s">
        <v>149</v>
      </c>
      <c r="I38" s="162"/>
      <c r="J38" s="162"/>
      <c r="K38" s="162"/>
      <c r="L38" s="162"/>
      <c r="M38" s="162"/>
      <c r="N38" s="162"/>
      <c r="O38" s="162"/>
      <c r="P38" s="162"/>
      <c r="U38" s="167">
        <f>SUM(S29:S37)</f>
        <v>21879.84</v>
      </c>
      <c r="V38" s="167"/>
      <c r="W38" s="167"/>
    </row>
    <row r="39" spans="1:28" ht="12" customHeight="1" x14ac:dyDescent="0.2">
      <c r="I39" s="162" t="s">
        <v>160</v>
      </c>
      <c r="J39" s="162"/>
      <c r="K39" s="162"/>
      <c r="L39" s="162"/>
      <c r="M39" s="162"/>
      <c r="N39" s="162"/>
      <c r="O39" s="162"/>
      <c r="P39" s="162"/>
      <c r="U39" s="167">
        <f>U38</f>
        <v>21879.84</v>
      </c>
      <c r="V39" s="167"/>
      <c r="W39" s="167"/>
    </row>
    <row r="40" spans="1:28" ht="12" customHeight="1" x14ac:dyDescent="0.2">
      <c r="A40" s="162" t="s">
        <v>161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S40" s="1"/>
    </row>
    <row r="41" spans="1:28" ht="12" customHeight="1" x14ac:dyDescent="0.2">
      <c r="C41" s="161" t="s">
        <v>162</v>
      </c>
      <c r="D41" s="161"/>
      <c r="E41" s="161"/>
      <c r="F41" s="161"/>
      <c r="H41" s="161" t="s">
        <v>163</v>
      </c>
      <c r="I41" s="161"/>
      <c r="J41" s="161"/>
      <c r="K41" s="161"/>
      <c r="L41" s="161"/>
      <c r="M41" s="161"/>
      <c r="N41" s="161"/>
      <c r="O41" s="161"/>
      <c r="P41" s="161"/>
      <c r="Q41" s="161"/>
      <c r="S41" s="1">
        <v>1000</v>
      </c>
    </row>
    <row r="42" spans="1:28" ht="12" customHeight="1" x14ac:dyDescent="0.2">
      <c r="C42" s="161" t="s">
        <v>166</v>
      </c>
      <c r="D42" s="161"/>
      <c r="E42" s="161"/>
      <c r="F42" s="161"/>
      <c r="H42" s="161" t="s">
        <v>574</v>
      </c>
      <c r="I42" s="161"/>
      <c r="J42" s="161"/>
      <c r="K42" s="161"/>
      <c r="L42" s="161"/>
      <c r="M42" s="161"/>
      <c r="N42" s="161"/>
      <c r="O42" s="161"/>
      <c r="P42" s="161"/>
      <c r="Q42" s="161"/>
      <c r="S42" s="1">
        <v>736688.65</v>
      </c>
    </row>
    <row r="43" spans="1:28" ht="12" customHeight="1" x14ac:dyDescent="0.2">
      <c r="C43" s="161" t="s">
        <v>166</v>
      </c>
      <c r="D43" s="161"/>
      <c r="E43" s="161"/>
      <c r="F43" s="161"/>
      <c r="H43" s="161" t="s">
        <v>167</v>
      </c>
      <c r="I43" s="161"/>
      <c r="J43" s="161"/>
      <c r="K43" s="161"/>
      <c r="L43" s="161"/>
      <c r="M43" s="161"/>
      <c r="N43" s="161"/>
      <c r="O43" s="161"/>
      <c r="P43" s="161"/>
      <c r="Q43" s="161"/>
      <c r="S43" s="1">
        <v>620892.79</v>
      </c>
    </row>
    <row r="44" spans="1:28" ht="12" customHeight="1" x14ac:dyDescent="0.2">
      <c r="C44" s="161" t="s">
        <v>207</v>
      </c>
      <c r="D44" s="161"/>
      <c r="E44" s="161"/>
      <c r="F44" s="161"/>
      <c r="H44" s="161" t="s">
        <v>208</v>
      </c>
      <c r="I44" s="161"/>
      <c r="J44" s="161"/>
      <c r="K44" s="161"/>
      <c r="L44" s="161"/>
      <c r="M44" s="161"/>
      <c r="N44" s="161"/>
      <c r="O44" s="161"/>
      <c r="P44" s="161"/>
      <c r="Q44" s="161"/>
      <c r="S44" s="1">
        <v>12802.8</v>
      </c>
    </row>
    <row r="45" spans="1:28" ht="12" customHeight="1" x14ac:dyDescent="0.2">
      <c r="C45" s="161" t="s">
        <v>209</v>
      </c>
      <c r="D45" s="161"/>
      <c r="E45" s="161"/>
      <c r="F45" s="161"/>
      <c r="H45" s="161" t="s">
        <v>210</v>
      </c>
      <c r="I45" s="161"/>
      <c r="J45" s="161"/>
      <c r="K45" s="161"/>
      <c r="L45" s="161"/>
      <c r="M45" s="161"/>
      <c r="N45" s="161"/>
      <c r="O45" s="161"/>
      <c r="P45" s="161"/>
      <c r="Q45" s="161"/>
      <c r="S45" s="1">
        <v>844983.45</v>
      </c>
    </row>
    <row r="46" spans="1:28" ht="12" customHeight="1" x14ac:dyDescent="0.2">
      <c r="C46" s="161" t="s">
        <v>211</v>
      </c>
      <c r="D46" s="161"/>
      <c r="E46" s="161"/>
      <c r="F46" s="161"/>
      <c r="H46" s="161" t="s">
        <v>212</v>
      </c>
      <c r="I46" s="161"/>
      <c r="J46" s="161"/>
      <c r="K46" s="161"/>
      <c r="L46" s="161"/>
      <c r="M46" s="161"/>
      <c r="N46" s="161"/>
      <c r="O46" s="161"/>
      <c r="P46" s="161"/>
      <c r="Q46" s="161"/>
      <c r="S46" s="1">
        <v>844983.45</v>
      </c>
    </row>
    <row r="47" spans="1:28" ht="12" customHeight="1" x14ac:dyDescent="0.2">
      <c r="C47" s="161" t="s">
        <v>213</v>
      </c>
      <c r="D47" s="161"/>
      <c r="E47" s="161"/>
      <c r="F47" s="161"/>
      <c r="H47" s="161" t="s">
        <v>214</v>
      </c>
      <c r="I47" s="161"/>
      <c r="J47" s="161"/>
      <c r="K47" s="161"/>
      <c r="L47" s="161"/>
      <c r="M47" s="161"/>
      <c r="N47" s="161"/>
      <c r="O47" s="161"/>
      <c r="P47" s="161"/>
      <c r="Q47" s="161"/>
      <c r="S47" s="1">
        <v>844983.45</v>
      </c>
      <c r="AB47" s="121" t="s">
        <v>105</v>
      </c>
    </row>
    <row r="48" spans="1:28" ht="12" customHeight="1" x14ac:dyDescent="0.2">
      <c r="C48" s="161" t="s">
        <v>215</v>
      </c>
      <c r="D48" s="161"/>
      <c r="E48" s="161"/>
      <c r="F48" s="161"/>
      <c r="H48" s="161" t="s">
        <v>216</v>
      </c>
      <c r="I48" s="161"/>
      <c r="J48" s="161"/>
      <c r="K48" s="161"/>
      <c r="L48" s="161"/>
      <c r="M48" s="161"/>
      <c r="N48" s="161"/>
      <c r="O48" s="161"/>
      <c r="P48" s="161"/>
      <c r="Q48" s="161"/>
      <c r="S48" s="1">
        <v>12802.8</v>
      </c>
    </row>
    <row r="49" spans="9:23" ht="12" customHeight="1" x14ac:dyDescent="0.2">
      <c r="I49" s="162" t="s">
        <v>177</v>
      </c>
      <c r="J49" s="162"/>
      <c r="K49" s="162"/>
      <c r="L49" s="162"/>
      <c r="M49" s="162"/>
      <c r="N49" s="162"/>
      <c r="O49" s="162"/>
      <c r="P49" s="162"/>
      <c r="U49" s="167">
        <f>SUM(S41:S48)</f>
        <v>3919137.3899999997</v>
      </c>
      <c r="V49" s="167"/>
      <c r="W49" s="167"/>
    </row>
    <row r="50" spans="9:23" ht="12" customHeight="1" x14ac:dyDescent="0.2">
      <c r="I50" s="162" t="s">
        <v>178</v>
      </c>
      <c r="J50" s="162"/>
      <c r="K50" s="162"/>
      <c r="L50" s="162"/>
      <c r="M50" s="162"/>
      <c r="N50" s="162"/>
      <c r="O50" s="162"/>
      <c r="P50" s="162"/>
    </row>
    <row r="51" spans="9:23" ht="13.5" customHeight="1" thickBot="1" x14ac:dyDescent="0.25">
      <c r="I51" s="162"/>
      <c r="J51" s="162"/>
      <c r="K51" s="162"/>
      <c r="L51" s="162"/>
      <c r="M51" s="162"/>
      <c r="N51" s="162"/>
      <c r="O51" s="162"/>
      <c r="P51" s="162"/>
      <c r="U51" s="187">
        <f>U49+U39</f>
        <v>3941017.2299999995</v>
      </c>
      <c r="V51" s="187"/>
      <c r="W51" s="187"/>
    </row>
    <row r="52" spans="9:23" ht="12" customHeight="1" thickTop="1" x14ac:dyDescent="0.2"/>
    <row r="53" spans="9:23" ht="12" customHeight="1" x14ac:dyDescent="0.2">
      <c r="V53" s="45">
        <f>U51-U25</f>
        <v>0</v>
      </c>
    </row>
    <row r="54" spans="9:23" ht="12" customHeight="1" x14ac:dyDescent="0.2"/>
    <row r="55" spans="9:23" ht="12" customHeight="1" x14ac:dyDescent="0.2"/>
    <row r="56" spans="9:23" ht="12" customHeight="1" x14ac:dyDescent="0.2"/>
    <row r="57" spans="9:23" ht="12" customHeight="1" x14ac:dyDescent="0.2"/>
    <row r="58" spans="9:23" ht="12" customHeight="1" x14ac:dyDescent="0.2"/>
    <row r="59" spans="9:23" ht="12" customHeight="1" x14ac:dyDescent="0.2"/>
    <row r="60" spans="9:23" ht="12" customHeight="1" x14ac:dyDescent="0.2"/>
    <row r="61" spans="9:23" ht="12" customHeight="1" x14ac:dyDescent="0.2"/>
    <row r="62" spans="9:23" ht="12" customHeight="1" x14ac:dyDescent="0.2"/>
    <row r="67" spans="28:28" ht="12.75" customHeight="1" x14ac:dyDescent="0.2">
      <c r="AB67" s="121" t="s">
        <v>161</v>
      </c>
    </row>
    <row r="92" spans="28:28" ht="12.75" customHeight="1" x14ac:dyDescent="0.2">
      <c r="AB92" s="120" t="s">
        <v>530</v>
      </c>
    </row>
    <row r="93" spans="28:28" ht="12.75" customHeight="1" x14ac:dyDescent="0.2">
      <c r="AB93" s="120" t="s">
        <v>531</v>
      </c>
    </row>
  </sheetData>
  <mergeCells count="85"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H17:P17"/>
    <mergeCell ref="U17:W17"/>
    <mergeCell ref="B19:K19"/>
    <mergeCell ref="C20:F20"/>
    <mergeCell ref="H20:Q20"/>
    <mergeCell ref="C21:F21"/>
    <mergeCell ref="H21:Q21"/>
    <mergeCell ref="C22:F22"/>
    <mergeCell ref="H22:Q22"/>
    <mergeCell ref="C23:F23"/>
    <mergeCell ref="H23:Q23"/>
    <mergeCell ref="H24:P24"/>
    <mergeCell ref="U24:W24"/>
    <mergeCell ref="I25:P25"/>
    <mergeCell ref="U25:W25"/>
    <mergeCell ref="A27:M27"/>
    <mergeCell ref="B28:K28"/>
    <mergeCell ref="C29:F29"/>
    <mergeCell ref="H29:Q29"/>
    <mergeCell ref="C30:F30"/>
    <mergeCell ref="H30:Q30"/>
    <mergeCell ref="C31:F31"/>
    <mergeCell ref="H31:Q31"/>
    <mergeCell ref="C32:F32"/>
    <mergeCell ref="H32:Q32"/>
    <mergeCell ref="C33:F33"/>
    <mergeCell ref="H33:Q33"/>
    <mergeCell ref="C34:F34"/>
    <mergeCell ref="H34:Q34"/>
    <mergeCell ref="C35:F35"/>
    <mergeCell ref="H35:Q35"/>
    <mergeCell ref="C36:F36"/>
    <mergeCell ref="H36:Q36"/>
    <mergeCell ref="C37:F37"/>
    <mergeCell ref="H37:Q37"/>
    <mergeCell ref="H38:P38"/>
    <mergeCell ref="U38:W38"/>
    <mergeCell ref="I39:P39"/>
    <mergeCell ref="U39:W39"/>
    <mergeCell ref="A40:M40"/>
    <mergeCell ref="C41:F41"/>
    <mergeCell ref="H41:Q41"/>
    <mergeCell ref="C42:F42"/>
    <mergeCell ref="H42:Q42"/>
    <mergeCell ref="C43:F43"/>
    <mergeCell ref="H43:Q43"/>
    <mergeCell ref="C44:F44"/>
    <mergeCell ref="H44:Q44"/>
    <mergeCell ref="C45:F45"/>
    <mergeCell ref="H45:Q45"/>
    <mergeCell ref="I49:P49"/>
    <mergeCell ref="U49:W49"/>
    <mergeCell ref="I50:P51"/>
    <mergeCell ref="U51:W51"/>
    <mergeCell ref="C46:F46"/>
    <mergeCell ref="H46:Q46"/>
    <mergeCell ref="C47:F47"/>
    <mergeCell ref="H47:Q47"/>
    <mergeCell ref="C48:F48"/>
    <mergeCell ref="H48:Q48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</sheetPr>
  <dimension ref="A1:S65"/>
  <sheetViews>
    <sheetView topLeftCell="A24" zoomScaleNormal="100" workbookViewId="0">
      <selection activeCell="F69" sqref="F69"/>
    </sheetView>
  </sheetViews>
  <sheetFormatPr defaultRowHeight="12.75" x14ac:dyDescent="0.2"/>
  <cols>
    <col min="5" max="5" width="30.42578125" bestFit="1" customWidth="1"/>
    <col min="6" max="6" width="11.7109375" customWidth="1"/>
  </cols>
  <sheetData>
    <row r="1" spans="1:19" ht="13.5" thickBot="1" x14ac:dyDescent="0.25">
      <c r="A1" s="9"/>
      <c r="B1" s="9"/>
      <c r="C1" s="9"/>
      <c r="D1" s="9"/>
      <c r="E1" s="9"/>
      <c r="F1" s="10" t="s">
        <v>589</v>
      </c>
    </row>
    <row r="2" spans="1:19" ht="13.5" thickTop="1" x14ac:dyDescent="0.2">
      <c r="A2" s="12" t="s">
        <v>341</v>
      </c>
      <c r="B2" s="12"/>
      <c r="C2" s="12"/>
      <c r="D2" s="12"/>
      <c r="E2" s="12"/>
      <c r="F2" s="13"/>
    </row>
    <row r="3" spans="1:19" x14ac:dyDescent="0.2">
      <c r="A3" s="12"/>
      <c r="B3" s="12" t="s">
        <v>3</v>
      </c>
      <c r="C3" s="12"/>
      <c r="D3" s="12"/>
      <c r="E3" s="12"/>
      <c r="F3" s="13"/>
    </row>
    <row r="4" spans="1:19" x14ac:dyDescent="0.2">
      <c r="A4" s="12"/>
      <c r="B4" s="12"/>
      <c r="C4" s="12" t="s">
        <v>342</v>
      </c>
      <c r="D4" s="12"/>
      <c r="E4" s="12"/>
      <c r="F4" s="13"/>
    </row>
    <row r="5" spans="1:19" x14ac:dyDescent="0.2">
      <c r="A5" s="12"/>
      <c r="B5" s="12"/>
      <c r="C5" s="12"/>
      <c r="D5" s="12" t="s">
        <v>397</v>
      </c>
      <c r="E5" s="12"/>
      <c r="F5" s="13">
        <v>-5.43</v>
      </c>
    </row>
    <row r="6" spans="1:19" x14ac:dyDescent="0.2">
      <c r="A6" s="12"/>
      <c r="B6" s="12"/>
      <c r="C6" s="12"/>
      <c r="D6" s="12" t="s">
        <v>399</v>
      </c>
      <c r="E6" s="12"/>
      <c r="F6" s="13">
        <v>235</v>
      </c>
    </row>
    <row r="7" spans="1:19" x14ac:dyDescent="0.2">
      <c r="A7" s="12"/>
      <c r="B7" s="12"/>
      <c r="C7" s="12"/>
      <c r="D7" s="12" t="s">
        <v>344</v>
      </c>
      <c r="E7" s="12"/>
      <c r="F7" s="13">
        <v>433554.63</v>
      </c>
    </row>
    <row r="8" spans="1:19" ht="13.5" thickBot="1" x14ac:dyDescent="0.25">
      <c r="A8" s="12"/>
      <c r="B8" s="12"/>
      <c r="C8" s="12"/>
      <c r="D8" s="12" t="s">
        <v>345</v>
      </c>
      <c r="E8" s="12"/>
      <c r="F8" s="15">
        <v>29108.2</v>
      </c>
    </row>
    <row r="9" spans="1:19" ht="13.5" thickBot="1" x14ac:dyDescent="0.25">
      <c r="A9" s="12"/>
      <c r="B9" s="12"/>
      <c r="C9" s="12" t="s">
        <v>346</v>
      </c>
      <c r="D9" s="12"/>
      <c r="E9" s="12"/>
      <c r="F9" s="16">
        <f>ROUND(SUM(F4:F8),5)</f>
        <v>462892.4</v>
      </c>
      <c r="S9">
        <v>0</v>
      </c>
    </row>
    <row r="10" spans="1:19" x14ac:dyDescent="0.2">
      <c r="A10" s="12"/>
      <c r="B10" s="12" t="s">
        <v>277</v>
      </c>
      <c r="C10" s="12"/>
      <c r="D10" s="12"/>
      <c r="E10" s="12"/>
      <c r="F10" s="13">
        <f>ROUND(F3+F9,5)</f>
        <v>462892.4</v>
      </c>
      <c r="S10">
        <v>0</v>
      </c>
    </row>
    <row r="11" spans="1:19" x14ac:dyDescent="0.2">
      <c r="A11" s="12"/>
      <c r="B11" s="12" t="s">
        <v>347</v>
      </c>
      <c r="C11" s="12"/>
      <c r="D11" s="12"/>
      <c r="E11" s="12"/>
      <c r="F11" s="13"/>
    </row>
    <row r="12" spans="1:19" x14ac:dyDescent="0.2">
      <c r="A12" s="12"/>
      <c r="B12" s="12"/>
      <c r="C12" s="12" t="s">
        <v>348</v>
      </c>
      <c r="D12" s="12"/>
      <c r="E12" s="12"/>
      <c r="F12" s="118">
        <v>44183.17</v>
      </c>
    </row>
    <row r="13" spans="1:19" x14ac:dyDescent="0.2">
      <c r="A13" s="12"/>
      <c r="B13" s="12"/>
      <c r="C13" s="12" t="s">
        <v>349</v>
      </c>
      <c r="D13" s="12"/>
      <c r="E13" s="12"/>
      <c r="F13" s="118">
        <v>30402.58</v>
      </c>
    </row>
    <row r="14" spans="1:19" x14ac:dyDescent="0.2">
      <c r="A14" s="12"/>
      <c r="B14" s="12"/>
      <c r="C14" s="12" t="s">
        <v>350</v>
      </c>
      <c r="D14" s="12"/>
      <c r="E14" s="12"/>
      <c r="F14" s="118">
        <v>65087.57</v>
      </c>
    </row>
    <row r="15" spans="1:19" x14ac:dyDescent="0.2">
      <c r="A15" s="12"/>
      <c r="B15" s="12"/>
      <c r="C15" s="12" t="s">
        <v>351</v>
      </c>
      <c r="D15" s="12"/>
      <c r="E15" s="12"/>
      <c r="F15" s="118">
        <v>54277.27</v>
      </c>
    </row>
    <row r="16" spans="1:19" x14ac:dyDescent="0.2">
      <c r="A16" s="12"/>
      <c r="B16" s="12"/>
      <c r="C16" s="12" t="s">
        <v>352</v>
      </c>
      <c r="D16" s="12"/>
      <c r="E16" s="12"/>
      <c r="F16" s="118">
        <v>30406.89</v>
      </c>
    </row>
    <row r="17" spans="1:6" x14ac:dyDescent="0.2">
      <c r="A17" s="12"/>
      <c r="B17" s="12"/>
      <c r="C17" s="12" t="s">
        <v>353</v>
      </c>
      <c r="D17" s="12"/>
      <c r="E17" s="12"/>
      <c r="F17" s="118">
        <v>24019.25</v>
      </c>
    </row>
    <row r="18" spans="1:6" x14ac:dyDescent="0.2">
      <c r="A18" s="12"/>
      <c r="B18" s="12"/>
      <c r="C18" s="12" t="s">
        <v>354</v>
      </c>
      <c r="D18" s="12"/>
      <c r="E18" s="12"/>
      <c r="F18" s="118">
        <v>246490.68</v>
      </c>
    </row>
    <row r="19" spans="1:6" x14ac:dyDescent="0.2">
      <c r="A19" s="12"/>
      <c r="B19" s="12"/>
      <c r="C19" s="12" t="s">
        <v>355</v>
      </c>
      <c r="D19" s="12"/>
      <c r="E19" s="12"/>
      <c r="F19" s="118">
        <v>458729.25</v>
      </c>
    </row>
    <row r="20" spans="1:6" x14ac:dyDescent="0.2">
      <c r="A20" s="12"/>
      <c r="B20" s="12"/>
      <c r="C20" s="12" t="s">
        <v>356</v>
      </c>
      <c r="D20" s="12"/>
      <c r="E20" s="12"/>
      <c r="F20" s="118">
        <v>27490.81</v>
      </c>
    </row>
    <row r="21" spans="1:6" x14ac:dyDescent="0.2">
      <c r="A21" s="12"/>
      <c r="B21" s="12"/>
      <c r="C21" s="12" t="s">
        <v>357</v>
      </c>
      <c r="D21" s="12"/>
      <c r="E21" s="12"/>
      <c r="F21" s="118">
        <v>71762.38</v>
      </c>
    </row>
    <row r="22" spans="1:6" x14ac:dyDescent="0.2">
      <c r="A22" s="12"/>
      <c r="B22" s="12"/>
      <c r="C22" s="12" t="s">
        <v>358</v>
      </c>
      <c r="D22" s="12"/>
      <c r="E22" s="12"/>
      <c r="F22" s="118">
        <v>993000</v>
      </c>
    </row>
    <row r="23" spans="1:6" x14ac:dyDescent="0.2">
      <c r="A23" s="12"/>
      <c r="B23" s="12"/>
      <c r="C23" s="12" t="s">
        <v>359</v>
      </c>
      <c r="D23" s="12"/>
      <c r="E23" s="12"/>
      <c r="F23" s="118">
        <v>22740.47</v>
      </c>
    </row>
    <row r="24" spans="1:6" x14ac:dyDescent="0.2">
      <c r="A24" s="12"/>
      <c r="B24" s="12"/>
      <c r="C24" s="12" t="s">
        <v>360</v>
      </c>
      <c r="D24" s="12"/>
      <c r="E24" s="12"/>
      <c r="F24" s="118">
        <v>144153.57999999999</v>
      </c>
    </row>
    <row r="25" spans="1:6" x14ac:dyDescent="0.2">
      <c r="A25" s="12"/>
      <c r="B25" s="12"/>
      <c r="C25" s="12" t="s">
        <v>361</v>
      </c>
      <c r="D25" s="12"/>
      <c r="E25" s="12"/>
      <c r="F25" s="118">
        <v>1095847.6499999999</v>
      </c>
    </row>
    <row r="26" spans="1:6" x14ac:dyDescent="0.2">
      <c r="A26" s="12"/>
      <c r="B26" s="12"/>
      <c r="C26" s="12" t="s">
        <v>362</v>
      </c>
      <c r="D26" s="12"/>
      <c r="E26" s="12"/>
      <c r="F26" s="118">
        <v>17378</v>
      </c>
    </row>
    <row r="27" spans="1:6" x14ac:dyDescent="0.2">
      <c r="A27" s="12"/>
      <c r="B27" s="12"/>
      <c r="C27" s="12" t="s">
        <v>363</v>
      </c>
      <c r="D27" s="12"/>
      <c r="E27" s="12"/>
      <c r="F27" s="118">
        <v>17892.39</v>
      </c>
    </row>
    <row r="28" spans="1:6" x14ac:dyDescent="0.2">
      <c r="A28" s="12"/>
      <c r="B28" s="12"/>
      <c r="C28" s="12" t="s">
        <v>364</v>
      </c>
      <c r="D28" s="12"/>
      <c r="E28" s="12"/>
      <c r="F28" s="118">
        <v>107880.06</v>
      </c>
    </row>
    <row r="29" spans="1:6" x14ac:dyDescent="0.2">
      <c r="A29" s="12"/>
      <c r="B29" s="12"/>
      <c r="C29" s="12" t="s">
        <v>365</v>
      </c>
      <c r="D29" s="12"/>
      <c r="E29" s="12"/>
      <c r="F29" s="118">
        <v>6029.69</v>
      </c>
    </row>
    <row r="30" spans="1:6" x14ac:dyDescent="0.2">
      <c r="A30" s="12"/>
      <c r="B30" s="12"/>
      <c r="C30" s="12" t="s">
        <v>366</v>
      </c>
      <c r="D30" s="12"/>
      <c r="E30" s="12"/>
      <c r="F30" s="118">
        <v>62029.53</v>
      </c>
    </row>
    <row r="31" spans="1:6" x14ac:dyDescent="0.2">
      <c r="A31" s="12"/>
      <c r="B31" s="12"/>
      <c r="C31" s="12" t="s">
        <v>367</v>
      </c>
      <c r="D31" s="12"/>
      <c r="E31" s="12"/>
      <c r="F31" s="118">
        <v>186350.3</v>
      </c>
    </row>
    <row r="32" spans="1:6" x14ac:dyDescent="0.2">
      <c r="A32" s="12"/>
      <c r="B32" s="12"/>
      <c r="C32" s="12" t="s">
        <v>368</v>
      </c>
      <c r="D32" s="12"/>
      <c r="E32" s="12"/>
      <c r="F32" s="118">
        <v>4474</v>
      </c>
    </row>
    <row r="33" spans="1:6" x14ac:dyDescent="0.2">
      <c r="A33" s="12"/>
      <c r="B33" s="12"/>
      <c r="C33" s="12" t="s">
        <v>370</v>
      </c>
      <c r="D33" s="12"/>
      <c r="E33" s="12"/>
      <c r="F33" s="118">
        <v>188141.96</v>
      </c>
    </row>
    <row r="34" spans="1:6" x14ac:dyDescent="0.2">
      <c r="A34" s="12"/>
      <c r="B34" s="12"/>
      <c r="C34" s="12" t="s">
        <v>592</v>
      </c>
      <c r="D34" s="12"/>
      <c r="E34" s="12"/>
      <c r="F34" s="118">
        <v>17634.599999999999</v>
      </c>
    </row>
    <row r="35" spans="1:6" x14ac:dyDescent="0.2">
      <c r="A35" s="12"/>
      <c r="B35" s="12"/>
      <c r="C35" s="12" t="s">
        <v>371</v>
      </c>
      <c r="D35" s="12"/>
      <c r="E35" s="12"/>
      <c r="F35" s="118">
        <v>-2263147.6</v>
      </c>
    </row>
    <row r="36" spans="1:6" ht="13.5" thickBot="1" x14ac:dyDescent="0.25">
      <c r="A36" s="12"/>
      <c r="B36" s="12"/>
      <c r="C36" s="117" t="s">
        <v>528</v>
      </c>
      <c r="D36" s="117"/>
      <c r="E36" s="117"/>
      <c r="F36" s="119">
        <v>-54000</v>
      </c>
    </row>
    <row r="37" spans="1:6" ht="13.5" thickBot="1" x14ac:dyDescent="0.25">
      <c r="A37" s="12"/>
      <c r="B37" s="12" t="s">
        <v>372</v>
      </c>
      <c r="C37" s="12"/>
      <c r="D37" s="12"/>
      <c r="E37" s="12"/>
      <c r="F37" s="17">
        <f>ROUND(SUM(F11:F36),5)</f>
        <v>1599254.48</v>
      </c>
    </row>
    <row r="38" spans="1:6" ht="13.5" thickBot="1" x14ac:dyDescent="0.25">
      <c r="A38" s="18" t="s">
        <v>375</v>
      </c>
      <c r="B38" s="18"/>
      <c r="C38" s="18"/>
      <c r="D38" s="18"/>
      <c r="E38" s="18"/>
      <c r="F38" s="19">
        <f>ROUND(F2+F10+F37,5)</f>
        <v>2062146.88</v>
      </c>
    </row>
    <row r="39" spans="1:6" ht="13.5" thickTop="1" x14ac:dyDescent="0.2">
      <c r="A39" s="12" t="s">
        <v>376</v>
      </c>
      <c r="B39" s="12"/>
      <c r="C39" s="12"/>
      <c r="D39" s="12"/>
      <c r="E39" s="12"/>
      <c r="F39" s="13"/>
    </row>
    <row r="40" spans="1:6" x14ac:dyDescent="0.2">
      <c r="A40" s="12"/>
      <c r="B40" s="12" t="s">
        <v>105</v>
      </c>
      <c r="C40" s="12"/>
      <c r="D40" s="12"/>
      <c r="E40" s="12"/>
      <c r="F40" s="13"/>
    </row>
    <row r="41" spans="1:6" x14ac:dyDescent="0.2">
      <c r="A41" s="12"/>
      <c r="B41" s="12"/>
      <c r="C41" s="12" t="s">
        <v>106</v>
      </c>
      <c r="D41" s="12"/>
      <c r="E41" s="12"/>
      <c r="F41" s="13"/>
    </row>
    <row r="42" spans="1:6" x14ac:dyDescent="0.2">
      <c r="A42" s="12"/>
      <c r="B42" s="12"/>
      <c r="C42" s="12"/>
      <c r="D42" s="12" t="s">
        <v>377</v>
      </c>
      <c r="E42" s="12"/>
      <c r="F42" s="13"/>
    </row>
    <row r="43" spans="1:6" x14ac:dyDescent="0.2">
      <c r="A43" s="12"/>
      <c r="B43" s="12"/>
      <c r="C43" s="12"/>
      <c r="D43" s="12"/>
      <c r="E43" s="12" t="s">
        <v>378</v>
      </c>
      <c r="F43" s="118">
        <v>4136.75</v>
      </c>
    </row>
    <row r="44" spans="1:6" x14ac:dyDescent="0.2">
      <c r="A44" s="12"/>
      <c r="B44" s="12"/>
      <c r="C44" s="12"/>
      <c r="D44" s="12"/>
      <c r="E44" s="12" t="s">
        <v>379</v>
      </c>
      <c r="F44" s="118">
        <v>24074.98</v>
      </c>
    </row>
    <row r="45" spans="1:6" x14ac:dyDescent="0.2">
      <c r="A45" s="12"/>
      <c r="B45" s="12"/>
      <c r="C45" s="12"/>
      <c r="D45" s="12"/>
      <c r="E45" s="12" t="s">
        <v>380</v>
      </c>
      <c r="F45" s="118">
        <v>-560.89</v>
      </c>
    </row>
    <row r="46" spans="1:6" x14ac:dyDescent="0.2">
      <c r="A46" s="12"/>
      <c r="B46" s="12"/>
      <c r="C46" s="12"/>
      <c r="D46" s="12"/>
      <c r="E46" s="12" t="s">
        <v>381</v>
      </c>
      <c r="F46" s="118">
        <v>136.91999999999999</v>
      </c>
    </row>
    <row r="47" spans="1:6" x14ac:dyDescent="0.2">
      <c r="A47" s="12"/>
      <c r="B47" s="12"/>
      <c r="C47" s="12"/>
      <c r="D47" s="12"/>
      <c r="E47" s="12" t="s">
        <v>382</v>
      </c>
      <c r="F47" s="118">
        <v>6875</v>
      </c>
    </row>
    <row r="48" spans="1:6" x14ac:dyDescent="0.2">
      <c r="A48" s="12"/>
      <c r="B48" s="12"/>
      <c r="C48" s="12"/>
      <c r="D48" s="12"/>
      <c r="E48" s="12" t="s">
        <v>383</v>
      </c>
      <c r="F48" s="118">
        <v>-526.76</v>
      </c>
    </row>
    <row r="49" spans="1:6" x14ac:dyDescent="0.2">
      <c r="A49" s="12"/>
      <c r="B49" s="12"/>
      <c r="C49" s="12"/>
      <c r="D49" s="12"/>
      <c r="E49" s="12" t="s">
        <v>384</v>
      </c>
      <c r="F49" s="118">
        <v>841943.54</v>
      </c>
    </row>
    <row r="50" spans="1:6" ht="13.5" thickBot="1" x14ac:dyDescent="0.25">
      <c r="A50" s="12"/>
      <c r="B50" s="12"/>
      <c r="C50" s="12"/>
      <c r="D50" s="12"/>
      <c r="E50" s="12" t="s">
        <v>385</v>
      </c>
      <c r="F50" s="119">
        <v>6349.9</v>
      </c>
    </row>
    <row r="51" spans="1:6" ht="13.5" thickBot="1" x14ac:dyDescent="0.25">
      <c r="A51" s="12"/>
      <c r="B51" s="12"/>
      <c r="C51" s="12"/>
      <c r="D51" s="12" t="s">
        <v>387</v>
      </c>
      <c r="E51" s="12"/>
      <c r="F51" s="16">
        <f>ROUND(SUM(F42:F50),5)</f>
        <v>882429.43999999994</v>
      </c>
    </row>
    <row r="52" spans="1:6" x14ac:dyDescent="0.2">
      <c r="A52" s="12"/>
      <c r="B52" s="12"/>
      <c r="C52" s="12" t="s">
        <v>388</v>
      </c>
      <c r="D52" s="12"/>
      <c r="E52" s="12"/>
      <c r="F52" s="13">
        <f>ROUND(F41+F51,5)</f>
        <v>882429.43999999994</v>
      </c>
    </row>
    <row r="53" spans="1:6" x14ac:dyDescent="0.2">
      <c r="A53" s="12"/>
      <c r="B53" s="12"/>
      <c r="C53" s="12" t="s">
        <v>150</v>
      </c>
      <c r="D53" s="12"/>
      <c r="E53" s="12"/>
      <c r="F53" s="13"/>
    </row>
    <row r="54" spans="1:6" x14ac:dyDescent="0.2">
      <c r="A54" s="12"/>
      <c r="B54" s="12"/>
      <c r="C54" s="12"/>
      <c r="D54" s="12" t="s">
        <v>389</v>
      </c>
      <c r="E54" s="12"/>
      <c r="F54" s="118">
        <v>1038675.03</v>
      </c>
    </row>
    <row r="55" spans="1:6" ht="13.5" thickBot="1" x14ac:dyDescent="0.25">
      <c r="A55" s="12"/>
      <c r="B55" s="12"/>
      <c r="C55" s="12"/>
      <c r="D55" s="12" t="s">
        <v>390</v>
      </c>
      <c r="E55" s="12"/>
      <c r="F55" s="119">
        <v>1326118.43</v>
      </c>
    </row>
    <row r="56" spans="1:6" ht="13.5" thickBot="1" x14ac:dyDescent="0.25">
      <c r="A56" s="12"/>
      <c r="B56" s="12"/>
      <c r="C56" s="12" t="s">
        <v>323</v>
      </c>
      <c r="D56" s="12"/>
      <c r="E56" s="12"/>
      <c r="F56" s="16">
        <f>ROUND(SUM(F53:F55),5)</f>
        <v>2364793.46</v>
      </c>
    </row>
    <row r="57" spans="1:6" x14ac:dyDescent="0.2">
      <c r="A57" s="12"/>
      <c r="B57" s="12" t="s">
        <v>324</v>
      </c>
      <c r="C57" s="12"/>
      <c r="D57" s="12"/>
      <c r="E57" s="12"/>
      <c r="F57" s="13">
        <f>ROUND(F40+F52+F56,5)</f>
        <v>3247222.9</v>
      </c>
    </row>
    <row r="58" spans="1:6" x14ac:dyDescent="0.2">
      <c r="A58" s="12"/>
      <c r="B58" s="12" t="s">
        <v>161</v>
      </c>
      <c r="C58" s="12"/>
      <c r="D58" s="12"/>
      <c r="E58" s="12"/>
      <c r="F58" s="13"/>
    </row>
    <row r="59" spans="1:6" x14ac:dyDescent="0.2">
      <c r="A59" s="12"/>
      <c r="B59" s="12"/>
      <c r="C59" s="12" t="s">
        <v>391</v>
      </c>
      <c r="D59" s="12"/>
      <c r="E59" s="12"/>
      <c r="F59" s="118">
        <v>25000.03</v>
      </c>
    </row>
    <row r="60" spans="1:6" x14ac:dyDescent="0.2">
      <c r="A60" s="12"/>
      <c r="B60" s="12"/>
      <c r="C60" s="12" t="s">
        <v>392</v>
      </c>
      <c r="D60" s="12"/>
      <c r="E60" s="12"/>
      <c r="F60" s="118">
        <v>-1115049.08</v>
      </c>
    </row>
    <row r="61" spans="1:6" ht="13.5" thickBot="1" x14ac:dyDescent="0.25">
      <c r="A61" s="12"/>
      <c r="B61" s="12"/>
      <c r="C61" s="12" t="s">
        <v>393</v>
      </c>
      <c r="D61" s="12"/>
      <c r="E61" s="12"/>
      <c r="F61" s="119">
        <v>-95026.97</v>
      </c>
    </row>
    <row r="62" spans="1:6" ht="13.5" thickBot="1" x14ac:dyDescent="0.25">
      <c r="A62" s="12"/>
      <c r="B62" s="12" t="s">
        <v>335</v>
      </c>
      <c r="C62" s="12"/>
      <c r="D62" s="12"/>
      <c r="E62" s="12"/>
      <c r="F62" s="17">
        <f>ROUND(SUM(F58:F61),5)</f>
        <v>-1185076.02</v>
      </c>
    </row>
    <row r="63" spans="1:6" ht="13.5" thickBot="1" x14ac:dyDescent="0.25">
      <c r="A63" s="18" t="s">
        <v>394</v>
      </c>
      <c r="B63" s="18"/>
      <c r="C63" s="18"/>
      <c r="D63" s="18"/>
      <c r="E63" s="18"/>
      <c r="F63" s="19">
        <f>ROUND(F39+F57+F62,5)</f>
        <v>2062146.88</v>
      </c>
    </row>
    <row r="64" spans="1:6" ht="13.5" thickTop="1" x14ac:dyDescent="0.2">
      <c r="A64" s="21"/>
      <c r="B64" s="21"/>
      <c r="C64" s="21"/>
      <c r="D64" s="21"/>
      <c r="E64" s="21"/>
      <c r="F64" s="22"/>
    </row>
    <row r="65" spans="5:6" x14ac:dyDescent="0.2">
      <c r="E65" s="35" t="s">
        <v>398</v>
      </c>
      <c r="F65" s="36">
        <f>F38-F63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</sheetPr>
  <dimension ref="A1:S94"/>
  <sheetViews>
    <sheetView topLeftCell="A28" workbookViewId="0">
      <selection activeCell="S42" sqref="S42"/>
    </sheetView>
  </sheetViews>
  <sheetFormatPr defaultRowHeight="12.75" x14ac:dyDescent="0.2"/>
  <cols>
    <col min="5" max="5" width="22.7109375" bestFit="1" customWidth="1"/>
    <col min="6" max="6" width="10.42578125" bestFit="1" customWidth="1"/>
  </cols>
  <sheetData>
    <row r="1" spans="1:19" x14ac:dyDescent="0.2">
      <c r="A1" s="100"/>
      <c r="B1" s="100"/>
      <c r="C1" s="100"/>
      <c r="D1" s="100"/>
      <c r="E1" s="100"/>
      <c r="F1" s="22"/>
    </row>
    <row r="2" spans="1:19" x14ac:dyDescent="0.2">
      <c r="A2" s="100"/>
      <c r="B2" s="185" t="s">
        <v>413</v>
      </c>
      <c r="C2" s="185"/>
      <c r="D2" s="185"/>
      <c r="E2" s="185"/>
      <c r="F2" s="185"/>
    </row>
    <row r="3" spans="1:19" x14ac:dyDescent="0.2">
      <c r="A3" s="100"/>
      <c r="B3" s="185"/>
      <c r="C3" s="185"/>
      <c r="D3" s="185"/>
      <c r="E3" s="185"/>
      <c r="F3" s="185"/>
    </row>
    <row r="4" spans="1:19" x14ac:dyDescent="0.2">
      <c r="A4" s="100"/>
      <c r="B4" s="100"/>
      <c r="C4" s="100"/>
      <c r="D4" s="100"/>
      <c r="E4" s="100"/>
      <c r="F4" s="22"/>
    </row>
    <row r="5" spans="1:19" ht="13.5" thickBot="1" x14ac:dyDescent="0.25">
      <c r="A5" s="101"/>
      <c r="B5" s="101"/>
      <c r="C5" s="101"/>
      <c r="D5" s="101"/>
      <c r="E5" s="101"/>
      <c r="F5" s="102" t="s">
        <v>589</v>
      </c>
    </row>
    <row r="6" spans="1:19" ht="13.5" thickTop="1" x14ac:dyDescent="0.2">
      <c r="A6" s="18" t="s">
        <v>341</v>
      </c>
      <c r="B6" s="18"/>
      <c r="C6" s="18"/>
      <c r="D6" s="18"/>
      <c r="E6" s="18"/>
      <c r="F6" s="13"/>
    </row>
    <row r="7" spans="1:19" x14ac:dyDescent="0.2">
      <c r="A7" s="18"/>
      <c r="B7" s="18" t="s">
        <v>3</v>
      </c>
      <c r="C7" s="18"/>
      <c r="D7" s="18"/>
      <c r="E7" s="18"/>
      <c r="F7" s="13"/>
    </row>
    <row r="8" spans="1:19" x14ac:dyDescent="0.2">
      <c r="A8" s="18"/>
      <c r="B8" s="18"/>
      <c r="C8" s="18" t="s">
        <v>342</v>
      </c>
      <c r="D8" s="18"/>
      <c r="E8" s="18"/>
      <c r="F8" s="13"/>
    </row>
    <row r="9" spans="1:19" ht="13.5" thickBot="1" x14ac:dyDescent="0.25">
      <c r="A9" s="18"/>
      <c r="B9" s="18"/>
      <c r="C9" s="18"/>
      <c r="D9" s="18" t="s">
        <v>414</v>
      </c>
      <c r="E9" s="18"/>
      <c r="F9" s="103">
        <v>453161.16</v>
      </c>
      <c r="S9">
        <v>0</v>
      </c>
    </row>
    <row r="10" spans="1:19" x14ac:dyDescent="0.2">
      <c r="A10" s="18"/>
      <c r="B10" s="18"/>
      <c r="C10" s="18" t="s">
        <v>346</v>
      </c>
      <c r="D10" s="18"/>
      <c r="E10" s="18"/>
      <c r="F10" s="13">
        <f>ROUND(SUM(F8:F9),5)</f>
        <v>453161.16</v>
      </c>
      <c r="S10">
        <v>0</v>
      </c>
    </row>
    <row r="11" spans="1:19" x14ac:dyDescent="0.2">
      <c r="A11" s="18"/>
      <c r="B11" s="18"/>
      <c r="C11" s="18" t="s">
        <v>415</v>
      </c>
      <c r="D11" s="18"/>
      <c r="E11" s="18"/>
      <c r="F11" s="13"/>
    </row>
    <row r="12" spans="1:19" x14ac:dyDescent="0.2">
      <c r="A12" s="18"/>
      <c r="B12" s="18"/>
      <c r="C12" s="18"/>
      <c r="D12" s="18" t="s">
        <v>416</v>
      </c>
      <c r="E12" s="18"/>
      <c r="F12" s="13">
        <v>-1.01</v>
      </c>
    </row>
    <row r="13" spans="1:19" x14ac:dyDescent="0.2">
      <c r="A13" s="18"/>
      <c r="B13" s="18"/>
      <c r="C13" s="18"/>
      <c r="D13" s="18" t="s">
        <v>417</v>
      </c>
      <c r="E13" s="18"/>
      <c r="F13" s="13">
        <v>1338765.55</v>
      </c>
    </row>
    <row r="14" spans="1:19" ht="13.5" thickBot="1" x14ac:dyDescent="0.25">
      <c r="A14" s="18"/>
      <c r="B14" s="18"/>
      <c r="C14" s="18"/>
      <c r="D14" s="18" t="s">
        <v>418</v>
      </c>
      <c r="E14" s="18"/>
      <c r="F14" s="15">
        <v>500</v>
      </c>
    </row>
    <row r="15" spans="1:19" ht="13.5" thickBot="1" x14ac:dyDescent="0.25">
      <c r="A15" s="18"/>
      <c r="B15" s="18"/>
      <c r="C15" s="18" t="s">
        <v>419</v>
      </c>
      <c r="D15" s="18"/>
      <c r="E15" s="18"/>
      <c r="F15" s="16">
        <f>ROUND(SUM(F11:F14),5)</f>
        <v>1339264.54</v>
      </c>
    </row>
    <row r="16" spans="1:19" x14ac:dyDescent="0.2">
      <c r="A16" s="18"/>
      <c r="B16" s="18" t="s">
        <v>277</v>
      </c>
      <c r="C16" s="18"/>
      <c r="D16" s="18"/>
      <c r="E16" s="18"/>
      <c r="F16" s="13">
        <f>ROUND(F7+F10+F15,5)</f>
        <v>1792425.7</v>
      </c>
    </row>
    <row r="17" spans="1:6" x14ac:dyDescent="0.2">
      <c r="A17" s="18"/>
      <c r="B17" s="18" t="s">
        <v>347</v>
      </c>
      <c r="C17" s="18"/>
      <c r="D17" s="18"/>
      <c r="E17" s="18"/>
      <c r="F17" s="13"/>
    </row>
    <row r="18" spans="1:6" x14ac:dyDescent="0.2">
      <c r="A18" s="18"/>
      <c r="B18" s="18"/>
      <c r="C18" s="18" t="s">
        <v>420</v>
      </c>
      <c r="D18" s="18"/>
      <c r="E18" s="18"/>
      <c r="F18" s="13">
        <v>9453</v>
      </c>
    </row>
    <row r="19" spans="1:6" x14ac:dyDescent="0.2">
      <c r="A19" s="18"/>
      <c r="B19" s="18"/>
      <c r="C19" s="18" t="s">
        <v>421</v>
      </c>
      <c r="D19" s="18"/>
      <c r="E19" s="18"/>
      <c r="F19" s="13">
        <v>8820</v>
      </c>
    </row>
    <row r="20" spans="1:6" x14ac:dyDescent="0.2">
      <c r="A20" s="18"/>
      <c r="B20" s="18"/>
      <c r="C20" s="18" t="s">
        <v>422</v>
      </c>
      <c r="D20" s="18"/>
      <c r="E20" s="18"/>
      <c r="F20" s="13">
        <v>600963.01</v>
      </c>
    </row>
    <row r="21" spans="1:6" x14ac:dyDescent="0.2">
      <c r="A21" s="18"/>
      <c r="B21" s="18"/>
      <c r="C21" s="18" t="s">
        <v>423</v>
      </c>
      <c r="D21" s="18"/>
      <c r="E21" s="18"/>
      <c r="F21" s="13">
        <v>-1258823.8899999999</v>
      </c>
    </row>
    <row r="22" spans="1:6" x14ac:dyDescent="0.2">
      <c r="A22" s="18"/>
      <c r="B22" s="18"/>
      <c r="C22" s="18" t="s">
        <v>424</v>
      </c>
      <c r="D22" s="18"/>
      <c r="E22" s="18"/>
      <c r="F22" s="13">
        <v>-17695.68</v>
      </c>
    </row>
    <row r="23" spans="1:6" x14ac:dyDescent="0.2">
      <c r="A23" s="18"/>
      <c r="B23" s="18"/>
      <c r="C23" s="18" t="s">
        <v>425</v>
      </c>
      <c r="D23" s="18"/>
      <c r="E23" s="18"/>
      <c r="F23" s="13">
        <v>158820</v>
      </c>
    </row>
    <row r="24" spans="1:6" x14ac:dyDescent="0.2">
      <c r="A24" s="18"/>
      <c r="B24" s="18"/>
      <c r="C24" s="18" t="s">
        <v>426</v>
      </c>
      <c r="D24" s="18"/>
      <c r="E24" s="18"/>
      <c r="F24" s="13">
        <v>950000</v>
      </c>
    </row>
    <row r="25" spans="1:6" ht="13.5" thickBot="1" x14ac:dyDescent="0.25">
      <c r="A25" s="18"/>
      <c r="B25" s="18"/>
      <c r="C25" s="18" t="s">
        <v>427</v>
      </c>
      <c r="D25" s="18"/>
      <c r="E25" s="18"/>
      <c r="F25" s="103">
        <v>19305</v>
      </c>
    </row>
    <row r="26" spans="1:6" x14ac:dyDescent="0.2">
      <c r="A26" s="18"/>
      <c r="B26" s="18" t="s">
        <v>372</v>
      </c>
      <c r="C26" s="18"/>
      <c r="D26" s="18"/>
      <c r="E26" s="18"/>
      <c r="F26" s="13">
        <f>ROUND(SUM(F17:F25),5)</f>
        <v>470841.44</v>
      </c>
    </row>
    <row r="27" spans="1:6" x14ac:dyDescent="0.2">
      <c r="A27" s="18"/>
      <c r="B27" s="18" t="s">
        <v>219</v>
      </c>
      <c r="C27" s="18"/>
      <c r="D27" s="18"/>
      <c r="E27" s="18"/>
      <c r="F27" s="13"/>
    </row>
    <row r="28" spans="1:6" x14ac:dyDescent="0.2">
      <c r="A28" s="18"/>
      <c r="B28" s="18"/>
      <c r="C28" s="18" t="s">
        <v>428</v>
      </c>
      <c r="D28" s="18"/>
      <c r="E28" s="18"/>
      <c r="F28" s="13"/>
    </row>
    <row r="29" spans="1:6" x14ac:dyDescent="0.2">
      <c r="A29" s="18"/>
      <c r="B29" s="18"/>
      <c r="C29" s="18"/>
      <c r="D29" s="18" t="s">
        <v>429</v>
      </c>
      <c r="E29" s="18"/>
      <c r="F29" s="13">
        <v>201952.97</v>
      </c>
    </row>
    <row r="30" spans="1:6" x14ac:dyDescent="0.2">
      <c r="A30" s="18"/>
      <c r="B30" s="18"/>
      <c r="C30" s="18"/>
      <c r="D30" s="18" t="s">
        <v>430</v>
      </c>
      <c r="E30" s="18"/>
      <c r="F30" s="13">
        <v>36739.96</v>
      </c>
    </row>
    <row r="31" spans="1:6" x14ac:dyDescent="0.2">
      <c r="A31" s="18"/>
      <c r="B31" s="18"/>
      <c r="C31" s="18"/>
      <c r="D31" s="18" t="s">
        <v>431</v>
      </c>
      <c r="E31" s="18"/>
      <c r="F31" s="13">
        <v>204583.12</v>
      </c>
    </row>
    <row r="32" spans="1:6" x14ac:dyDescent="0.2">
      <c r="A32" s="18"/>
      <c r="B32" s="18"/>
      <c r="C32" s="18"/>
      <c r="D32" s="18" t="s">
        <v>432</v>
      </c>
      <c r="E32" s="18"/>
      <c r="F32" s="13">
        <v>160786.65</v>
      </c>
    </row>
    <row r="33" spans="1:6" x14ac:dyDescent="0.2">
      <c r="A33" s="18"/>
      <c r="B33" s="18"/>
      <c r="C33" s="18"/>
      <c r="D33" s="18" t="s">
        <v>433</v>
      </c>
      <c r="E33" s="18"/>
      <c r="F33" s="13">
        <v>469887.67</v>
      </c>
    </row>
    <row r="34" spans="1:6" x14ac:dyDescent="0.2">
      <c r="A34" s="18"/>
      <c r="B34" s="18"/>
      <c r="C34" s="18"/>
      <c r="D34" s="18" t="s">
        <v>434</v>
      </c>
      <c r="E34" s="18"/>
      <c r="F34" s="13">
        <v>142493.89000000001</v>
      </c>
    </row>
    <row r="35" spans="1:6" x14ac:dyDescent="0.2">
      <c r="A35" s="18"/>
      <c r="B35" s="18"/>
      <c r="C35" s="18"/>
      <c r="D35" s="18" t="s">
        <v>435</v>
      </c>
      <c r="E35" s="18"/>
      <c r="F35" s="13">
        <v>7801.94</v>
      </c>
    </row>
    <row r="36" spans="1:6" x14ac:dyDescent="0.2">
      <c r="A36" s="18"/>
      <c r="B36" s="18"/>
      <c r="C36" s="18"/>
      <c r="D36" s="18" t="s">
        <v>436</v>
      </c>
      <c r="E36" s="18"/>
      <c r="F36" s="13">
        <v>71525.64</v>
      </c>
    </row>
    <row r="37" spans="1:6" x14ac:dyDescent="0.2">
      <c r="A37" s="18"/>
      <c r="B37" s="18"/>
      <c r="C37" s="18"/>
      <c r="D37" s="18" t="s">
        <v>437</v>
      </c>
      <c r="E37" s="18"/>
      <c r="F37" s="13">
        <v>103280.98</v>
      </c>
    </row>
    <row r="38" spans="1:6" x14ac:dyDescent="0.2">
      <c r="A38" s="18"/>
      <c r="B38" s="18"/>
      <c r="C38" s="18"/>
      <c r="D38" s="18" t="s">
        <v>438</v>
      </c>
      <c r="E38" s="18"/>
      <c r="F38" s="13">
        <v>83943.52</v>
      </c>
    </row>
    <row r="39" spans="1:6" x14ac:dyDescent="0.2">
      <c r="A39" s="18"/>
      <c r="B39" s="18"/>
      <c r="C39" s="18"/>
      <c r="D39" s="18" t="s">
        <v>439</v>
      </c>
      <c r="E39" s="18"/>
      <c r="F39" s="13">
        <v>58496.39</v>
      </c>
    </row>
    <row r="40" spans="1:6" x14ac:dyDescent="0.2">
      <c r="A40" s="18"/>
      <c r="B40" s="18"/>
      <c r="C40" s="18"/>
      <c r="D40" s="18" t="s">
        <v>440</v>
      </c>
      <c r="E40" s="18"/>
      <c r="F40" s="13">
        <v>145647.73000000001</v>
      </c>
    </row>
    <row r="41" spans="1:6" x14ac:dyDescent="0.2">
      <c r="A41" s="18"/>
      <c r="B41" s="18"/>
      <c r="C41" s="18"/>
      <c r="D41" s="18" t="s">
        <v>441</v>
      </c>
      <c r="E41" s="18"/>
      <c r="F41" s="13">
        <v>81424.679999999993</v>
      </c>
    </row>
    <row r="42" spans="1:6" x14ac:dyDescent="0.2">
      <c r="A42" s="18"/>
      <c r="B42" s="18"/>
      <c r="C42" s="18"/>
      <c r="D42" s="18" t="s">
        <v>442</v>
      </c>
      <c r="E42" s="18"/>
      <c r="F42" s="13">
        <v>248197.36</v>
      </c>
    </row>
    <row r="43" spans="1:6" x14ac:dyDescent="0.2">
      <c r="A43" s="18"/>
      <c r="B43" s="18"/>
      <c r="C43" s="18"/>
      <c r="D43" s="18" t="s">
        <v>443</v>
      </c>
      <c r="E43" s="18"/>
      <c r="F43" s="13">
        <v>169409.85</v>
      </c>
    </row>
    <row r="44" spans="1:6" x14ac:dyDescent="0.2">
      <c r="A44" s="18"/>
      <c r="B44" s="18"/>
      <c r="C44" s="18"/>
      <c r="D44" s="18" t="s">
        <v>444</v>
      </c>
      <c r="E44" s="18"/>
      <c r="F44" s="13">
        <v>120783.21</v>
      </c>
    </row>
    <row r="45" spans="1:6" x14ac:dyDescent="0.2">
      <c r="A45" s="18"/>
      <c r="B45" s="18"/>
      <c r="C45" s="18"/>
      <c r="D45" s="18" t="s">
        <v>445</v>
      </c>
      <c r="E45" s="18"/>
      <c r="F45" s="13">
        <v>33508.339999999997</v>
      </c>
    </row>
    <row r="46" spans="1:6" x14ac:dyDescent="0.2">
      <c r="A46" s="18"/>
      <c r="B46" s="18"/>
      <c r="C46" s="18"/>
      <c r="D46" s="18" t="s">
        <v>446</v>
      </c>
      <c r="E46" s="18"/>
      <c r="F46" s="13">
        <v>5233</v>
      </c>
    </row>
    <row r="47" spans="1:6" x14ac:dyDescent="0.2">
      <c r="A47" s="18"/>
      <c r="B47" s="18"/>
      <c r="C47" s="18"/>
      <c r="D47" s="18" t="s">
        <v>447</v>
      </c>
      <c r="E47" s="18"/>
      <c r="F47" s="13">
        <v>1720.66</v>
      </c>
    </row>
    <row r="48" spans="1:6" x14ac:dyDescent="0.2">
      <c r="A48" s="18"/>
      <c r="B48" s="18"/>
      <c r="C48" s="18"/>
      <c r="D48" s="18" t="s">
        <v>448</v>
      </c>
      <c r="E48" s="18"/>
      <c r="F48" s="13">
        <v>201770.28</v>
      </c>
    </row>
    <row r="49" spans="1:6" x14ac:dyDescent="0.2">
      <c r="A49" s="18"/>
      <c r="B49" s="18"/>
      <c r="C49" s="18"/>
      <c r="D49" s="18" t="s">
        <v>449</v>
      </c>
      <c r="E49" s="18"/>
      <c r="F49" s="13">
        <v>120197.47</v>
      </c>
    </row>
    <row r="50" spans="1:6" x14ac:dyDescent="0.2">
      <c r="A50" s="18"/>
      <c r="B50" s="18"/>
      <c r="C50" s="18"/>
      <c r="D50" s="18" t="s">
        <v>450</v>
      </c>
      <c r="E50" s="18"/>
      <c r="F50" s="13">
        <v>113478.17</v>
      </c>
    </row>
    <row r="51" spans="1:6" x14ac:dyDescent="0.2">
      <c r="A51" s="18"/>
      <c r="B51" s="18"/>
      <c r="C51" s="18"/>
      <c r="D51" s="18" t="s">
        <v>451</v>
      </c>
      <c r="E51" s="18"/>
      <c r="F51" s="13">
        <v>13985.85</v>
      </c>
    </row>
    <row r="52" spans="1:6" x14ac:dyDescent="0.2">
      <c r="A52" s="18"/>
      <c r="B52" s="18"/>
      <c r="C52" s="18"/>
      <c r="D52" s="18" t="s">
        <v>452</v>
      </c>
      <c r="E52" s="18"/>
      <c r="F52" s="13">
        <v>10153.42</v>
      </c>
    </row>
    <row r="53" spans="1:6" ht="13.5" thickBot="1" x14ac:dyDescent="0.25">
      <c r="A53" s="18"/>
      <c r="B53" s="18"/>
      <c r="C53" s="18"/>
      <c r="D53" s="18" t="s">
        <v>453</v>
      </c>
      <c r="E53" s="18"/>
      <c r="F53" s="15">
        <v>275583.8</v>
      </c>
    </row>
    <row r="54" spans="1:6" ht="13.5" thickBot="1" x14ac:dyDescent="0.25">
      <c r="A54" s="18"/>
      <c r="B54" s="18"/>
      <c r="C54" s="18" t="s">
        <v>454</v>
      </c>
      <c r="D54" s="18"/>
      <c r="E54" s="18"/>
      <c r="F54" s="17">
        <f>ROUND(SUM(F28:F53),5)</f>
        <v>3082586.55</v>
      </c>
    </row>
    <row r="55" spans="1:6" ht="13.5" thickBot="1" x14ac:dyDescent="0.25">
      <c r="A55" s="18"/>
      <c r="B55" s="18" t="s">
        <v>374</v>
      </c>
      <c r="C55" s="18"/>
      <c r="D55" s="18"/>
      <c r="E55" s="18"/>
      <c r="F55" s="17">
        <f>ROUND(F27+F54,5)</f>
        <v>3082586.55</v>
      </c>
    </row>
    <row r="56" spans="1:6" ht="13.5" thickBot="1" x14ac:dyDescent="0.25">
      <c r="A56" s="18" t="s">
        <v>375</v>
      </c>
      <c r="B56" s="18"/>
      <c r="C56" s="18"/>
      <c r="D56" s="18"/>
      <c r="E56" s="18"/>
      <c r="F56" s="19">
        <f>ROUND(F6+F16+F26+F55,5)</f>
        <v>5345853.6900000004</v>
      </c>
    </row>
    <row r="57" spans="1:6" ht="13.5" thickTop="1" x14ac:dyDescent="0.2">
      <c r="A57" s="18" t="s">
        <v>376</v>
      </c>
      <c r="B57" s="18"/>
      <c r="C57" s="18"/>
      <c r="D57" s="18"/>
      <c r="E57" s="18"/>
      <c r="F57" s="13"/>
    </row>
    <row r="58" spans="1:6" x14ac:dyDescent="0.2">
      <c r="A58" s="18"/>
      <c r="B58" s="18" t="s">
        <v>105</v>
      </c>
      <c r="C58" s="18"/>
      <c r="D58" s="18"/>
      <c r="E58" s="18"/>
      <c r="F58" s="13"/>
    </row>
    <row r="59" spans="1:6" x14ac:dyDescent="0.2">
      <c r="A59" s="18"/>
      <c r="B59" s="18"/>
      <c r="C59" s="18" t="s">
        <v>106</v>
      </c>
      <c r="D59" s="18"/>
      <c r="E59" s="18"/>
      <c r="F59" s="13"/>
    </row>
    <row r="60" spans="1:6" x14ac:dyDescent="0.2">
      <c r="A60" s="18"/>
      <c r="B60" s="18"/>
      <c r="C60" s="18"/>
      <c r="D60" s="18" t="s">
        <v>455</v>
      </c>
      <c r="E60" s="18"/>
      <c r="F60" s="13"/>
    </row>
    <row r="61" spans="1:6" ht="13.5" thickBot="1" x14ac:dyDescent="0.25">
      <c r="A61" s="18"/>
      <c r="B61" s="18"/>
      <c r="C61" s="18"/>
      <c r="D61" s="18"/>
      <c r="E61" s="18" t="s">
        <v>456</v>
      </c>
      <c r="F61" s="103">
        <v>2717.13</v>
      </c>
    </row>
    <row r="62" spans="1:6" x14ac:dyDescent="0.2">
      <c r="A62" s="18"/>
      <c r="B62" s="18"/>
      <c r="C62" s="18"/>
      <c r="D62" s="18" t="s">
        <v>457</v>
      </c>
      <c r="E62" s="18"/>
      <c r="F62" s="13">
        <f>ROUND(SUM(F60:F61),5)</f>
        <v>2717.13</v>
      </c>
    </row>
    <row r="63" spans="1:6" x14ac:dyDescent="0.2">
      <c r="A63" s="18"/>
      <c r="B63" s="18"/>
      <c r="C63" s="18"/>
      <c r="D63" s="18" t="s">
        <v>377</v>
      </c>
      <c r="E63" s="18"/>
      <c r="F63" s="13"/>
    </row>
    <row r="64" spans="1:6" x14ac:dyDescent="0.2">
      <c r="A64" s="18"/>
      <c r="B64" s="18"/>
      <c r="C64" s="18"/>
      <c r="D64" s="18"/>
      <c r="E64" s="18" t="s">
        <v>458</v>
      </c>
      <c r="F64" s="13">
        <v>0</v>
      </c>
    </row>
    <row r="65" spans="1:6" ht="13.5" thickBot="1" x14ac:dyDescent="0.25">
      <c r="A65" s="18"/>
      <c r="B65" s="18"/>
      <c r="C65" s="18"/>
      <c r="D65" s="18"/>
      <c r="E65" s="18" t="s">
        <v>459</v>
      </c>
      <c r="F65" s="15">
        <v>73179.05</v>
      </c>
    </row>
    <row r="66" spans="1:6" ht="13.5" thickBot="1" x14ac:dyDescent="0.25">
      <c r="A66" s="18"/>
      <c r="B66" s="18"/>
      <c r="C66" s="18"/>
      <c r="D66" s="18" t="s">
        <v>387</v>
      </c>
      <c r="E66" s="18"/>
      <c r="F66" s="16">
        <f>ROUND(SUM(F63:F65),5)</f>
        <v>73179.05</v>
      </c>
    </row>
    <row r="67" spans="1:6" x14ac:dyDescent="0.2">
      <c r="A67" s="18"/>
      <c r="B67" s="18"/>
      <c r="C67" s="18" t="s">
        <v>388</v>
      </c>
      <c r="D67" s="18"/>
      <c r="E67" s="18"/>
      <c r="F67" s="13">
        <f>ROUND(F59+F62+F66,5)</f>
        <v>75896.179999999993</v>
      </c>
    </row>
    <row r="68" spans="1:6" x14ac:dyDescent="0.2">
      <c r="A68" s="18"/>
      <c r="B68" s="18"/>
      <c r="C68" s="18" t="s">
        <v>150</v>
      </c>
      <c r="D68" s="18"/>
      <c r="E68" s="18"/>
      <c r="F68" s="13"/>
    </row>
    <row r="69" spans="1:6" x14ac:dyDescent="0.2">
      <c r="A69" s="18"/>
      <c r="B69" s="18"/>
      <c r="C69" s="18"/>
      <c r="D69" s="18" t="s">
        <v>460</v>
      </c>
      <c r="E69" s="18"/>
      <c r="F69" s="13">
        <v>0</v>
      </c>
    </row>
    <row r="70" spans="1:6" ht="13.5" thickBot="1" x14ac:dyDescent="0.25">
      <c r="A70" s="18"/>
      <c r="B70" s="18"/>
      <c r="C70" s="18"/>
      <c r="D70" s="18" t="s">
        <v>461</v>
      </c>
      <c r="E70" s="18"/>
      <c r="F70" s="15">
        <v>247750</v>
      </c>
    </row>
    <row r="71" spans="1:6" ht="13.5" thickBot="1" x14ac:dyDescent="0.25">
      <c r="A71" s="18"/>
      <c r="B71" s="18"/>
      <c r="C71" s="18" t="s">
        <v>323</v>
      </c>
      <c r="D71" s="18"/>
      <c r="E71" s="18"/>
      <c r="F71" s="16">
        <f>ROUND(SUM(F68:F70),5)</f>
        <v>247750</v>
      </c>
    </row>
    <row r="72" spans="1:6" x14ac:dyDescent="0.2">
      <c r="A72" s="18"/>
      <c r="B72" s="18" t="s">
        <v>324</v>
      </c>
      <c r="C72" s="18"/>
      <c r="D72" s="18"/>
      <c r="E72" s="18"/>
      <c r="F72" s="13">
        <f>ROUND(F58+F67+F71,5)</f>
        <v>323646.18</v>
      </c>
    </row>
    <row r="73" spans="1:6" x14ac:dyDescent="0.2">
      <c r="A73" s="18"/>
      <c r="B73" s="18" t="s">
        <v>161</v>
      </c>
      <c r="C73" s="18"/>
      <c r="D73" s="18"/>
      <c r="E73" s="18"/>
      <c r="F73" s="13"/>
    </row>
    <row r="74" spans="1:6" x14ac:dyDescent="0.2">
      <c r="A74" s="18"/>
      <c r="B74" s="18"/>
      <c r="C74" s="18" t="s">
        <v>462</v>
      </c>
      <c r="D74" s="18"/>
      <c r="E74" s="18"/>
      <c r="F74" s="13"/>
    </row>
    <row r="75" spans="1:6" x14ac:dyDescent="0.2">
      <c r="A75" s="18"/>
      <c r="B75" s="18"/>
      <c r="C75" s="18"/>
      <c r="D75" s="18" t="s">
        <v>463</v>
      </c>
      <c r="E75" s="18"/>
      <c r="F75" s="13">
        <v>-56628</v>
      </c>
    </row>
    <row r="76" spans="1:6" x14ac:dyDescent="0.2">
      <c r="A76" s="18"/>
      <c r="B76" s="18"/>
      <c r="C76" s="18"/>
      <c r="D76" s="18" t="s">
        <v>464</v>
      </c>
      <c r="E76" s="18"/>
      <c r="F76" s="13">
        <v>-56628</v>
      </c>
    </row>
    <row r="77" spans="1:6" x14ac:dyDescent="0.2">
      <c r="A77" s="18"/>
      <c r="B77" s="18"/>
      <c r="C77" s="18"/>
      <c r="D77" s="18" t="s">
        <v>465</v>
      </c>
      <c r="E77" s="18"/>
      <c r="F77" s="13">
        <v>-56628</v>
      </c>
    </row>
    <row r="78" spans="1:6" x14ac:dyDescent="0.2">
      <c r="A78" s="18"/>
      <c r="B78" s="18"/>
      <c r="C78" s="18"/>
      <c r="D78" s="18" t="s">
        <v>466</v>
      </c>
      <c r="E78" s="18"/>
      <c r="F78" s="13">
        <v>-858</v>
      </c>
    </row>
    <row r="79" spans="1:6" ht="13.5" thickBot="1" x14ac:dyDescent="0.25">
      <c r="A79" s="18"/>
      <c r="B79" s="18"/>
      <c r="C79" s="18"/>
      <c r="D79" s="18" t="s">
        <v>467</v>
      </c>
      <c r="E79" s="18"/>
      <c r="F79" s="103">
        <v>-858</v>
      </c>
    </row>
    <row r="80" spans="1:6" x14ac:dyDescent="0.2">
      <c r="A80" s="18"/>
      <c r="B80" s="18"/>
      <c r="C80" s="18" t="s">
        <v>468</v>
      </c>
      <c r="D80" s="18"/>
      <c r="E80" s="18"/>
      <c r="F80" s="13">
        <f>ROUND(SUM(F74:F79),5)</f>
        <v>-171600</v>
      </c>
    </row>
    <row r="81" spans="1:6" x14ac:dyDescent="0.2">
      <c r="A81" s="18"/>
      <c r="B81" s="18"/>
      <c r="C81" s="18" t="s">
        <v>469</v>
      </c>
      <c r="D81" s="18"/>
      <c r="E81" s="18"/>
      <c r="F81" s="13"/>
    </row>
    <row r="82" spans="1:6" x14ac:dyDescent="0.2">
      <c r="A82" s="18"/>
      <c r="B82" s="18"/>
      <c r="C82" s="18"/>
      <c r="D82" s="18" t="s">
        <v>470</v>
      </c>
      <c r="E82" s="18"/>
      <c r="F82" s="13">
        <v>999074.67</v>
      </c>
    </row>
    <row r="83" spans="1:6" x14ac:dyDescent="0.2">
      <c r="A83" s="18"/>
      <c r="B83" s="18"/>
      <c r="C83" s="18"/>
      <c r="D83" s="18" t="s">
        <v>471</v>
      </c>
      <c r="E83" s="18"/>
      <c r="F83" s="13">
        <v>999074.67</v>
      </c>
    </row>
    <row r="84" spans="1:6" x14ac:dyDescent="0.2">
      <c r="A84" s="18"/>
      <c r="B84" s="18"/>
      <c r="C84" s="18"/>
      <c r="D84" s="18" t="s">
        <v>472</v>
      </c>
      <c r="E84" s="18"/>
      <c r="F84" s="13">
        <v>999074.67</v>
      </c>
    </row>
    <row r="85" spans="1:6" x14ac:dyDescent="0.2">
      <c r="A85" s="18"/>
      <c r="B85" s="18"/>
      <c r="C85" s="18"/>
      <c r="D85" s="18" t="s">
        <v>473</v>
      </c>
      <c r="E85" s="18"/>
      <c r="F85" s="13">
        <v>15130.45</v>
      </c>
    </row>
    <row r="86" spans="1:6" ht="13.5" thickBot="1" x14ac:dyDescent="0.25">
      <c r="A86" s="18"/>
      <c r="B86" s="18"/>
      <c r="C86" s="18"/>
      <c r="D86" s="18" t="s">
        <v>474</v>
      </c>
      <c r="E86" s="18"/>
      <c r="F86" s="103">
        <v>13738.83</v>
      </c>
    </row>
    <row r="87" spans="1:6" x14ac:dyDescent="0.2">
      <c r="A87" s="18"/>
      <c r="B87" s="18"/>
      <c r="C87" s="18" t="s">
        <v>475</v>
      </c>
      <c r="D87" s="18"/>
      <c r="E87" s="18"/>
      <c r="F87" s="13">
        <f>ROUND(SUM(F81:F86),5)</f>
        <v>3026093.29</v>
      </c>
    </row>
    <row r="88" spans="1:6" x14ac:dyDescent="0.2">
      <c r="A88" s="18"/>
      <c r="B88" s="18"/>
      <c r="C88" s="18" t="s">
        <v>476</v>
      </c>
      <c r="D88" s="18"/>
      <c r="E88" s="18"/>
      <c r="F88" s="13">
        <v>1200000</v>
      </c>
    </row>
    <row r="89" spans="1:6" x14ac:dyDescent="0.2">
      <c r="A89" s="18"/>
      <c r="B89" s="18"/>
      <c r="C89" s="18" t="s">
        <v>477</v>
      </c>
      <c r="D89" s="18"/>
      <c r="E89" s="18"/>
      <c r="F89" s="13">
        <v>667327.31999999995</v>
      </c>
    </row>
    <row r="90" spans="1:6" ht="13.5" thickBot="1" x14ac:dyDescent="0.25">
      <c r="A90" s="18"/>
      <c r="B90" s="18"/>
      <c r="C90" s="18" t="s">
        <v>393</v>
      </c>
      <c r="D90" s="18"/>
      <c r="E90" s="18"/>
      <c r="F90" s="15">
        <v>300386.90000000002</v>
      </c>
    </row>
    <row r="91" spans="1:6" ht="13.5" thickBot="1" x14ac:dyDescent="0.25">
      <c r="A91" s="18"/>
      <c r="B91" s="18" t="s">
        <v>335</v>
      </c>
      <c r="C91" s="18"/>
      <c r="D91" s="18"/>
      <c r="E91" s="18"/>
      <c r="F91" s="17">
        <f>ROUND(F73+F80+SUM(F87:F90),5)</f>
        <v>5022207.51</v>
      </c>
    </row>
    <row r="92" spans="1:6" ht="13.5" thickBot="1" x14ac:dyDescent="0.25">
      <c r="A92" s="18" t="s">
        <v>394</v>
      </c>
      <c r="B92" s="18"/>
      <c r="C92" s="18"/>
      <c r="D92" s="18"/>
      <c r="E92" s="18"/>
      <c r="F92" s="19">
        <f>ROUND(F57+F72+F91,5)</f>
        <v>5345853.6900000004</v>
      </c>
    </row>
    <row r="93" spans="1:6" ht="13.5" thickTop="1" x14ac:dyDescent="0.2">
      <c r="A93" s="100"/>
      <c r="B93" s="100"/>
      <c r="C93" s="100"/>
      <c r="D93" s="100"/>
      <c r="E93" s="100"/>
      <c r="F93" s="22"/>
    </row>
    <row r="94" spans="1:6" x14ac:dyDescent="0.2">
      <c r="F94" s="36">
        <f>F92-F56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39997558519241921"/>
  </sheetPr>
  <dimension ref="A1:S50"/>
  <sheetViews>
    <sheetView topLeftCell="A10" workbookViewId="0">
      <selection activeCell="L19" sqref="L19"/>
    </sheetView>
  </sheetViews>
  <sheetFormatPr defaultRowHeight="12.75" x14ac:dyDescent="0.2"/>
  <cols>
    <col min="5" max="5" width="15" bestFit="1" customWidth="1"/>
    <col min="6" max="6" width="10" bestFit="1" customWidth="1"/>
  </cols>
  <sheetData>
    <row r="1" spans="1:19" ht="13.5" thickBot="1" x14ac:dyDescent="0.25">
      <c r="A1" s="101"/>
      <c r="B1" s="101"/>
      <c r="C1" s="101"/>
      <c r="D1" s="101"/>
      <c r="E1" s="101"/>
      <c r="F1" s="102" t="s">
        <v>589</v>
      </c>
      <c r="G1" s="11"/>
    </row>
    <row r="2" spans="1:19" ht="12.75" customHeight="1" thickTop="1" x14ac:dyDescent="0.2">
      <c r="A2" s="18" t="s">
        <v>341</v>
      </c>
      <c r="B2" s="18"/>
      <c r="C2" s="18"/>
      <c r="D2" s="18"/>
      <c r="E2" s="18"/>
      <c r="F2" s="13"/>
      <c r="G2" s="14"/>
    </row>
    <row r="3" spans="1:19" ht="12.75" customHeight="1" x14ac:dyDescent="0.2">
      <c r="A3" s="18"/>
      <c r="B3" s="18" t="s">
        <v>3</v>
      </c>
      <c r="C3" s="18"/>
      <c r="D3" s="18"/>
      <c r="E3" s="18"/>
      <c r="F3" s="13"/>
      <c r="G3" s="14"/>
    </row>
    <row r="4" spans="1:19" x14ac:dyDescent="0.2">
      <c r="A4" s="18"/>
      <c r="B4" s="18"/>
      <c r="C4" s="18" t="s">
        <v>342</v>
      </c>
      <c r="D4" s="18"/>
      <c r="E4" s="18"/>
      <c r="F4" s="13"/>
      <c r="G4" s="14"/>
    </row>
    <row r="5" spans="1:19" ht="13.5" thickBot="1" x14ac:dyDescent="0.25">
      <c r="A5" s="18"/>
      <c r="B5" s="18"/>
      <c r="C5" s="18"/>
      <c r="D5" s="18" t="s">
        <v>487</v>
      </c>
      <c r="E5" s="18"/>
      <c r="F5" s="15">
        <v>275530.45</v>
      </c>
      <c r="G5" s="14"/>
    </row>
    <row r="6" spans="1:19" ht="13.5" thickBot="1" x14ac:dyDescent="0.25">
      <c r="A6" s="18"/>
      <c r="B6" s="18"/>
      <c r="C6" s="18" t="s">
        <v>346</v>
      </c>
      <c r="D6" s="18"/>
      <c r="E6" s="18"/>
      <c r="F6" s="16">
        <f>ROUND(SUM(F4:F5),5)</f>
        <v>275530.45</v>
      </c>
      <c r="G6" s="14"/>
    </row>
    <row r="7" spans="1:19" x14ac:dyDescent="0.2">
      <c r="A7" s="18"/>
      <c r="B7" s="18" t="s">
        <v>277</v>
      </c>
      <c r="C7" s="18"/>
      <c r="D7" s="18"/>
      <c r="E7" s="18"/>
      <c r="F7" s="13">
        <f>ROUND(F3+F6,5)</f>
        <v>275530.45</v>
      </c>
      <c r="G7" s="14"/>
    </row>
    <row r="8" spans="1:19" x14ac:dyDescent="0.2">
      <c r="A8" s="18"/>
      <c r="B8" s="18" t="s">
        <v>347</v>
      </c>
      <c r="C8" s="18"/>
      <c r="D8" s="18"/>
      <c r="E8" s="18"/>
      <c r="F8" s="13"/>
      <c r="G8" s="14"/>
    </row>
    <row r="9" spans="1:19" x14ac:dyDescent="0.2">
      <c r="A9" s="18"/>
      <c r="B9" s="18"/>
      <c r="C9" s="18" t="s">
        <v>488</v>
      </c>
      <c r="D9" s="18"/>
      <c r="E9" s="18"/>
      <c r="F9" s="13">
        <v>-506354</v>
      </c>
      <c r="G9" s="14"/>
      <c r="S9">
        <v>0</v>
      </c>
    </row>
    <row r="10" spans="1:19" x14ac:dyDescent="0.2">
      <c r="A10" s="18"/>
      <c r="B10" s="18"/>
      <c r="C10" s="18" t="s">
        <v>489</v>
      </c>
      <c r="D10" s="18"/>
      <c r="E10" s="18"/>
      <c r="F10" s="13">
        <v>-8345.44</v>
      </c>
      <c r="G10" s="14"/>
      <c r="S10">
        <v>0</v>
      </c>
    </row>
    <row r="11" spans="1:19" x14ac:dyDescent="0.2">
      <c r="A11" s="18"/>
      <c r="B11" s="18"/>
      <c r="C11" s="18" t="s">
        <v>490</v>
      </c>
      <c r="D11" s="18"/>
      <c r="E11" s="18"/>
      <c r="F11" s="13">
        <v>-104846</v>
      </c>
      <c r="G11" s="14"/>
    </row>
    <row r="12" spans="1:19" x14ac:dyDescent="0.2">
      <c r="A12" s="18"/>
      <c r="B12" s="18"/>
      <c r="C12" s="18" t="s">
        <v>491</v>
      </c>
      <c r="D12" s="18"/>
      <c r="E12" s="18"/>
      <c r="F12" s="13">
        <v>-158485</v>
      </c>
      <c r="G12" s="14"/>
    </row>
    <row r="13" spans="1:19" x14ac:dyDescent="0.2">
      <c r="A13" s="18"/>
      <c r="B13" s="18"/>
      <c r="C13" s="18" t="s">
        <v>492</v>
      </c>
      <c r="D13" s="18"/>
      <c r="E13" s="18"/>
      <c r="F13" s="13">
        <v>5317996.24</v>
      </c>
      <c r="G13" s="14"/>
    </row>
    <row r="14" spans="1:19" x14ac:dyDescent="0.2">
      <c r="A14" s="18"/>
      <c r="B14" s="18"/>
      <c r="C14" s="18" t="s">
        <v>510</v>
      </c>
      <c r="D14" s="18"/>
      <c r="E14" s="18"/>
      <c r="F14" s="13">
        <v>915445.43</v>
      </c>
      <c r="G14" s="14"/>
    </row>
    <row r="15" spans="1:19" x14ac:dyDescent="0.2">
      <c r="A15" s="18"/>
      <c r="B15" s="18"/>
      <c r="C15" s="18" t="s">
        <v>493</v>
      </c>
      <c r="D15" s="18"/>
      <c r="E15" s="18"/>
      <c r="F15" s="13">
        <v>9394.19</v>
      </c>
      <c r="G15" s="14"/>
    </row>
    <row r="16" spans="1:19" x14ac:dyDescent="0.2">
      <c r="A16" s="18"/>
      <c r="B16" s="18"/>
      <c r="C16" s="18" t="s">
        <v>494</v>
      </c>
      <c r="D16" s="18"/>
      <c r="E16" s="18"/>
      <c r="F16" s="13">
        <v>1898482.76</v>
      </c>
      <c r="G16" s="14"/>
    </row>
    <row r="17" spans="1:7" x14ac:dyDescent="0.2">
      <c r="A17" s="18"/>
      <c r="B17" s="18"/>
      <c r="C17" s="18" t="s">
        <v>495</v>
      </c>
      <c r="D17" s="18"/>
      <c r="E17" s="18"/>
      <c r="F17" s="13">
        <v>152311.53</v>
      </c>
      <c r="G17" s="14"/>
    </row>
    <row r="18" spans="1:7" ht="13.5" thickBot="1" x14ac:dyDescent="0.25">
      <c r="A18" s="18"/>
      <c r="B18" s="18"/>
      <c r="C18" s="18" t="s">
        <v>496</v>
      </c>
      <c r="D18" s="18"/>
      <c r="E18" s="18"/>
      <c r="F18" s="15">
        <v>230237.91</v>
      </c>
      <c r="G18" s="14"/>
    </row>
    <row r="19" spans="1:7" ht="13.5" thickBot="1" x14ac:dyDescent="0.25">
      <c r="A19" s="18"/>
      <c r="B19" s="18" t="s">
        <v>372</v>
      </c>
      <c r="C19" s="18"/>
      <c r="D19" s="18"/>
      <c r="E19" s="18"/>
      <c r="F19" s="17">
        <f>ROUND(SUM(F8:F18),5)</f>
        <v>7745837.6200000001</v>
      </c>
      <c r="G19" s="14"/>
    </row>
    <row r="20" spans="1:7" ht="13.5" thickBot="1" x14ac:dyDescent="0.25">
      <c r="A20" s="18" t="s">
        <v>375</v>
      </c>
      <c r="B20" s="18"/>
      <c r="C20" s="18"/>
      <c r="D20" s="18"/>
      <c r="E20" s="18"/>
      <c r="F20" s="19">
        <f>ROUND(F2+F7+F19,5)</f>
        <v>8021368.0700000003</v>
      </c>
      <c r="G20" s="20"/>
    </row>
    <row r="21" spans="1:7" ht="13.5" thickTop="1" x14ac:dyDescent="0.2">
      <c r="A21" s="18" t="s">
        <v>376</v>
      </c>
      <c r="B21" s="18"/>
      <c r="C21" s="18"/>
      <c r="D21" s="18"/>
      <c r="E21" s="18"/>
      <c r="F21" s="13"/>
      <c r="G21" s="14"/>
    </row>
    <row r="22" spans="1:7" x14ac:dyDescent="0.2">
      <c r="A22" s="18"/>
      <c r="B22" s="18" t="s">
        <v>105</v>
      </c>
      <c r="C22" s="18"/>
      <c r="D22" s="18"/>
      <c r="E22" s="18"/>
      <c r="F22" s="13"/>
      <c r="G22" s="14"/>
    </row>
    <row r="23" spans="1:7" x14ac:dyDescent="0.2">
      <c r="A23" s="18"/>
      <c r="B23" s="18"/>
      <c r="C23" s="18" t="s">
        <v>106</v>
      </c>
      <c r="D23" s="18"/>
      <c r="E23" s="18"/>
      <c r="F23" s="13"/>
      <c r="G23" s="14"/>
    </row>
    <row r="24" spans="1:7" x14ac:dyDescent="0.2">
      <c r="A24" s="18"/>
      <c r="B24" s="18"/>
      <c r="C24" s="18"/>
      <c r="D24" s="18" t="s">
        <v>455</v>
      </c>
      <c r="E24" s="18"/>
      <c r="F24" s="13"/>
      <c r="G24" s="14"/>
    </row>
    <row r="25" spans="1:7" ht="13.5" thickBot="1" x14ac:dyDescent="0.25">
      <c r="A25" s="18"/>
      <c r="B25" s="18"/>
      <c r="C25" s="18"/>
      <c r="D25" s="18"/>
      <c r="E25" s="18" t="s">
        <v>455</v>
      </c>
      <c r="F25" s="103">
        <v>2935.15</v>
      </c>
      <c r="G25" s="14"/>
    </row>
    <row r="26" spans="1:7" x14ac:dyDescent="0.2">
      <c r="A26" s="18"/>
      <c r="B26" s="18"/>
      <c r="C26" s="18"/>
      <c r="D26" s="18" t="s">
        <v>457</v>
      </c>
      <c r="E26" s="18"/>
      <c r="F26" s="13">
        <f>ROUND(SUM(F24:F25),5)</f>
        <v>2935.15</v>
      </c>
      <c r="G26" s="14"/>
    </row>
    <row r="27" spans="1:7" x14ac:dyDescent="0.2">
      <c r="A27" s="18"/>
      <c r="B27" s="18"/>
      <c r="C27" s="18"/>
      <c r="D27" s="18" t="s">
        <v>377</v>
      </c>
      <c r="E27" s="18"/>
      <c r="F27" s="13"/>
      <c r="G27" s="14"/>
    </row>
    <row r="28" spans="1:7" x14ac:dyDescent="0.2">
      <c r="A28" s="18"/>
      <c r="B28" s="18"/>
      <c r="C28" s="18"/>
      <c r="D28" s="18"/>
      <c r="E28" s="18" t="s">
        <v>497</v>
      </c>
      <c r="F28" s="13">
        <v>-77551.25</v>
      </c>
      <c r="G28" s="14"/>
    </row>
    <row r="29" spans="1:7" ht="13.5" thickBot="1" x14ac:dyDescent="0.25">
      <c r="A29" s="18"/>
      <c r="B29" s="18"/>
      <c r="C29" s="18"/>
      <c r="D29" s="18"/>
      <c r="E29" s="18" t="s">
        <v>498</v>
      </c>
      <c r="F29" s="15">
        <v>500</v>
      </c>
      <c r="G29" s="14"/>
    </row>
    <row r="30" spans="1:7" ht="13.5" thickBot="1" x14ac:dyDescent="0.25">
      <c r="A30" s="18"/>
      <c r="B30" s="18"/>
      <c r="C30" s="18"/>
      <c r="D30" s="18" t="s">
        <v>387</v>
      </c>
      <c r="E30" s="18"/>
      <c r="F30" s="16">
        <f>ROUND(SUM(F27:F29),5)</f>
        <v>-77051.25</v>
      </c>
      <c r="G30" s="14"/>
    </row>
    <row r="31" spans="1:7" x14ac:dyDescent="0.2">
      <c r="A31" s="18"/>
      <c r="B31" s="18"/>
      <c r="C31" s="18" t="s">
        <v>388</v>
      </c>
      <c r="D31" s="18"/>
      <c r="E31" s="18"/>
      <c r="F31" s="13">
        <f>ROUND(F23+F26+F30,5)</f>
        <v>-74116.100000000006</v>
      </c>
      <c r="G31" s="14"/>
    </row>
    <row r="32" spans="1:7" x14ac:dyDescent="0.2">
      <c r="A32" s="18"/>
      <c r="B32" s="18"/>
      <c r="C32" s="18" t="s">
        <v>150</v>
      </c>
      <c r="D32" s="18"/>
      <c r="E32" s="18"/>
      <c r="F32" s="13"/>
      <c r="G32" s="14"/>
    </row>
    <row r="33" spans="1:7" x14ac:dyDescent="0.2">
      <c r="A33" s="18"/>
      <c r="B33" s="18"/>
      <c r="C33" s="18"/>
      <c r="D33" s="18" t="s">
        <v>499</v>
      </c>
      <c r="E33" s="18"/>
      <c r="F33" s="13">
        <v>819709.5</v>
      </c>
      <c r="G33" s="14"/>
    </row>
    <row r="34" spans="1:7" x14ac:dyDescent="0.2">
      <c r="A34" s="18"/>
      <c r="B34" s="18"/>
      <c r="C34" s="18"/>
      <c r="D34" s="18" t="s">
        <v>500</v>
      </c>
      <c r="E34" s="18"/>
      <c r="F34" s="13">
        <v>825953</v>
      </c>
      <c r="G34" s="14"/>
    </row>
    <row r="35" spans="1:7" x14ac:dyDescent="0.2">
      <c r="A35" s="18"/>
      <c r="B35" s="18"/>
      <c r="C35" s="18"/>
      <c r="D35" s="18" t="s">
        <v>501</v>
      </c>
      <c r="E35" s="18"/>
      <c r="F35" s="13">
        <v>656846.65</v>
      </c>
      <c r="G35" s="14"/>
    </row>
    <row r="36" spans="1:7" ht="13.5" thickBot="1" x14ac:dyDescent="0.25">
      <c r="A36" s="18"/>
      <c r="B36" s="18"/>
      <c r="C36" s="18"/>
      <c r="D36" s="18" t="s">
        <v>502</v>
      </c>
      <c r="E36" s="18"/>
      <c r="F36" s="15">
        <v>3563493</v>
      </c>
      <c r="G36" s="14"/>
    </row>
    <row r="37" spans="1:7" ht="13.5" thickBot="1" x14ac:dyDescent="0.25">
      <c r="A37" s="18"/>
      <c r="B37" s="18"/>
      <c r="C37" s="18" t="s">
        <v>323</v>
      </c>
      <c r="D37" s="18"/>
      <c r="E37" s="18"/>
      <c r="F37" s="16">
        <f>ROUND(SUM(F32:F36),5)</f>
        <v>5866002.1500000004</v>
      </c>
      <c r="G37" s="14"/>
    </row>
    <row r="38" spans="1:7" x14ac:dyDescent="0.2">
      <c r="A38" s="18"/>
      <c r="B38" s="18" t="s">
        <v>324</v>
      </c>
      <c r="C38" s="18"/>
      <c r="D38" s="18"/>
      <c r="E38" s="18"/>
      <c r="F38" s="13">
        <f>ROUND(F22+F31+F37,5)</f>
        <v>5791886.0499999998</v>
      </c>
      <c r="G38" s="14"/>
    </row>
    <row r="39" spans="1:7" x14ac:dyDescent="0.2">
      <c r="A39" s="18"/>
      <c r="B39" s="18" t="s">
        <v>161</v>
      </c>
      <c r="C39" s="18"/>
      <c r="D39" s="18"/>
      <c r="E39" s="18"/>
      <c r="F39" s="13"/>
      <c r="G39" s="14"/>
    </row>
    <row r="40" spans="1:7" x14ac:dyDescent="0.2">
      <c r="A40" s="18"/>
      <c r="B40" s="18"/>
      <c r="C40" s="18" t="s">
        <v>511</v>
      </c>
      <c r="D40" s="18"/>
      <c r="E40" s="18"/>
      <c r="F40" s="13">
        <v>518562.95</v>
      </c>
      <c r="G40" s="14"/>
    </row>
    <row r="41" spans="1:7" x14ac:dyDescent="0.2">
      <c r="A41" s="18"/>
      <c r="B41" s="18"/>
      <c r="C41" s="18" t="s">
        <v>503</v>
      </c>
      <c r="D41" s="18"/>
      <c r="E41" s="18"/>
      <c r="F41" s="13">
        <v>514042.45</v>
      </c>
      <c r="G41" s="14"/>
    </row>
    <row r="42" spans="1:7" x14ac:dyDescent="0.2">
      <c r="A42" s="18"/>
      <c r="B42" s="18"/>
      <c r="C42" s="18" t="s">
        <v>504</v>
      </c>
      <c r="D42" s="18"/>
      <c r="E42" s="18"/>
      <c r="F42" s="13">
        <v>35951.879999999997</v>
      </c>
      <c r="G42" s="14"/>
    </row>
    <row r="43" spans="1:7" x14ac:dyDescent="0.2">
      <c r="A43" s="18"/>
      <c r="B43" s="18"/>
      <c r="C43" s="18" t="s">
        <v>505</v>
      </c>
      <c r="D43" s="18"/>
      <c r="E43" s="18"/>
      <c r="F43" s="13">
        <v>35951.879999999997</v>
      </c>
      <c r="G43" s="14"/>
    </row>
    <row r="44" spans="1:7" x14ac:dyDescent="0.2">
      <c r="A44" s="18"/>
      <c r="B44" s="18"/>
      <c r="C44" s="18" t="s">
        <v>506</v>
      </c>
      <c r="D44" s="18"/>
      <c r="E44" s="18"/>
      <c r="F44" s="13">
        <v>514042.46</v>
      </c>
      <c r="G44" s="14"/>
    </row>
    <row r="45" spans="1:7" x14ac:dyDescent="0.2">
      <c r="A45" s="18"/>
      <c r="B45" s="18"/>
      <c r="C45" s="18" t="s">
        <v>507</v>
      </c>
      <c r="D45" s="18"/>
      <c r="E45" s="18"/>
      <c r="F45" s="13">
        <v>514042.45</v>
      </c>
      <c r="G45" s="14"/>
    </row>
    <row r="46" spans="1:7" ht="13.5" thickBot="1" x14ac:dyDescent="0.25">
      <c r="A46" s="18"/>
      <c r="B46" s="18"/>
      <c r="C46" s="18" t="s">
        <v>393</v>
      </c>
      <c r="D46" s="18"/>
      <c r="E46" s="18"/>
      <c r="F46" s="15">
        <v>96887.95</v>
      </c>
      <c r="G46" s="14"/>
    </row>
    <row r="47" spans="1:7" ht="13.5" thickBot="1" x14ac:dyDescent="0.25">
      <c r="A47" s="18"/>
      <c r="B47" s="18" t="s">
        <v>335</v>
      </c>
      <c r="C47" s="18"/>
      <c r="D47" s="18"/>
      <c r="E47" s="18"/>
      <c r="F47" s="17">
        <f>ROUND(SUM(F39:F46),5)</f>
        <v>2229482.02</v>
      </c>
      <c r="G47" s="14"/>
    </row>
    <row r="48" spans="1:7" ht="13.5" thickBot="1" x14ac:dyDescent="0.25">
      <c r="A48" s="18" t="s">
        <v>394</v>
      </c>
      <c r="B48" s="18"/>
      <c r="C48" s="18"/>
      <c r="D48" s="18"/>
      <c r="E48" s="18"/>
      <c r="F48" s="19">
        <f>ROUND(F21+F38+F47,5)</f>
        <v>8021368.0700000003</v>
      </c>
      <c r="G48" s="20"/>
    </row>
    <row r="49" spans="6:6" ht="13.5" thickTop="1" x14ac:dyDescent="0.2"/>
    <row r="50" spans="6:6" x14ac:dyDescent="0.2">
      <c r="F50" s="36">
        <f>F48-F20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39997558519241921"/>
  </sheetPr>
  <dimension ref="A2:S42"/>
  <sheetViews>
    <sheetView workbookViewId="0">
      <selection activeCell="K28" sqref="K28"/>
    </sheetView>
  </sheetViews>
  <sheetFormatPr defaultRowHeight="12.75" x14ac:dyDescent="0.2"/>
  <cols>
    <col min="3" max="3" width="15.28515625" bestFit="1" customWidth="1"/>
    <col min="4" max="4" width="17.140625" bestFit="1" customWidth="1"/>
    <col min="5" max="5" width="27.5703125" bestFit="1" customWidth="1"/>
    <col min="6" max="6" width="11.28515625" bestFit="1" customWidth="1"/>
  </cols>
  <sheetData>
    <row r="2" spans="1:19" x14ac:dyDescent="0.2">
      <c r="A2" s="175" t="s">
        <v>590</v>
      </c>
      <c r="B2" s="176"/>
      <c r="C2" s="176"/>
      <c r="D2" s="176"/>
      <c r="E2" s="176"/>
      <c r="F2" s="177"/>
    </row>
    <row r="3" spans="1:19" x14ac:dyDescent="0.2">
      <c r="A3" s="178"/>
      <c r="B3" s="179"/>
      <c r="C3" s="179"/>
      <c r="D3" s="179"/>
      <c r="E3" s="179"/>
      <c r="F3" s="180"/>
    </row>
    <row r="4" spans="1:19" x14ac:dyDescent="0.2">
      <c r="A4" s="178"/>
      <c r="B4" s="179"/>
      <c r="C4" s="179"/>
      <c r="D4" s="179"/>
      <c r="E4" s="179"/>
      <c r="F4" s="180"/>
    </row>
    <row r="5" spans="1:19" x14ac:dyDescent="0.2">
      <c r="A5" s="181"/>
      <c r="B5" s="182"/>
      <c r="C5" s="182"/>
      <c r="D5" s="182"/>
      <c r="E5" s="182"/>
      <c r="F5" s="183"/>
    </row>
    <row r="8" spans="1:19" ht="13.5" thickBot="1" x14ac:dyDescent="0.25">
      <c r="A8" s="115"/>
      <c r="B8" s="115"/>
      <c r="C8" s="115"/>
      <c r="D8" s="115"/>
      <c r="E8" s="115"/>
      <c r="F8" s="116" t="s">
        <v>591</v>
      </c>
    </row>
    <row r="9" spans="1:19" ht="13.5" thickTop="1" x14ac:dyDescent="0.2">
      <c r="A9" s="108" t="s">
        <v>341</v>
      </c>
      <c r="B9" s="108"/>
      <c r="C9" s="108"/>
      <c r="D9" s="108"/>
      <c r="E9" s="108"/>
      <c r="F9" s="109"/>
      <c r="S9">
        <v>0</v>
      </c>
    </row>
    <row r="10" spans="1:19" x14ac:dyDescent="0.2">
      <c r="A10" s="108"/>
      <c r="B10" s="108" t="s">
        <v>3</v>
      </c>
      <c r="C10" s="108"/>
      <c r="D10" s="108"/>
      <c r="E10" s="108"/>
      <c r="F10" s="109"/>
      <c r="S10">
        <v>0</v>
      </c>
    </row>
    <row r="11" spans="1:19" x14ac:dyDescent="0.2">
      <c r="A11" s="108"/>
      <c r="B11" s="108"/>
      <c r="C11" s="108" t="s">
        <v>342</v>
      </c>
      <c r="D11" s="108"/>
      <c r="E11" s="108"/>
      <c r="F11" s="109"/>
    </row>
    <row r="12" spans="1:19" ht="13.5" thickBot="1" x14ac:dyDescent="0.25">
      <c r="A12" s="108"/>
      <c r="B12" s="108"/>
      <c r="C12" s="108"/>
      <c r="D12" s="108" t="s">
        <v>517</v>
      </c>
      <c r="E12" s="108"/>
      <c r="F12" s="110">
        <v>252378.16</v>
      </c>
    </row>
    <row r="13" spans="1:19" x14ac:dyDescent="0.2">
      <c r="A13" s="108"/>
      <c r="B13" s="108"/>
      <c r="C13" s="108" t="s">
        <v>346</v>
      </c>
      <c r="D13" s="108"/>
      <c r="E13" s="108"/>
      <c r="F13" s="109">
        <f>F12</f>
        <v>252378.16</v>
      </c>
    </row>
    <row r="14" spans="1:19" x14ac:dyDescent="0.2">
      <c r="A14" s="108"/>
      <c r="B14" s="108"/>
      <c r="C14" s="108" t="s">
        <v>518</v>
      </c>
      <c r="D14" s="108"/>
      <c r="E14" s="108"/>
      <c r="F14" s="109"/>
    </row>
    <row r="15" spans="1:19" ht="13.5" thickBot="1" x14ac:dyDescent="0.25">
      <c r="A15" s="108"/>
      <c r="B15" s="108"/>
      <c r="C15" s="108"/>
      <c r="D15" s="108" t="s">
        <v>519</v>
      </c>
      <c r="E15" s="108"/>
      <c r="F15" s="110">
        <v>1544393.7</v>
      </c>
    </row>
    <row r="16" spans="1:19" x14ac:dyDescent="0.2">
      <c r="A16" s="108"/>
      <c r="B16" s="108"/>
      <c r="C16" s="108" t="s">
        <v>520</v>
      </c>
      <c r="D16" s="108"/>
      <c r="E16" s="108"/>
      <c r="F16" s="109">
        <f>F15</f>
        <v>1544393.7</v>
      </c>
    </row>
    <row r="17" spans="1:6" x14ac:dyDescent="0.2">
      <c r="A17" s="108"/>
      <c r="B17" s="108"/>
      <c r="C17" s="108" t="s">
        <v>415</v>
      </c>
      <c r="D17" s="108"/>
      <c r="E17" s="108"/>
      <c r="F17" s="109"/>
    </row>
    <row r="18" spans="1:6" x14ac:dyDescent="0.2">
      <c r="A18" s="108"/>
      <c r="B18" s="108"/>
      <c r="C18" s="108"/>
      <c r="D18" s="108" t="s">
        <v>521</v>
      </c>
      <c r="E18" s="108"/>
      <c r="F18" s="109">
        <v>4582.4799999999996</v>
      </c>
    </row>
    <row r="19" spans="1:6" ht="13.5" thickBot="1" x14ac:dyDescent="0.25">
      <c r="A19" s="108"/>
      <c r="B19" s="108"/>
      <c r="C19" s="108"/>
      <c r="D19" s="108" t="s">
        <v>522</v>
      </c>
      <c r="E19" s="108"/>
      <c r="F19" s="111">
        <v>121279.17</v>
      </c>
    </row>
    <row r="20" spans="1:6" ht="13.5" thickBot="1" x14ac:dyDescent="0.25">
      <c r="A20" s="108"/>
      <c r="B20" s="108"/>
      <c r="C20" s="108" t="s">
        <v>419</v>
      </c>
      <c r="D20" s="108"/>
      <c r="E20" s="108"/>
      <c r="F20" s="112">
        <f>F18+F19</f>
        <v>125861.65</v>
      </c>
    </row>
    <row r="21" spans="1:6" ht="13.5" thickBot="1" x14ac:dyDescent="0.25">
      <c r="A21" s="108"/>
      <c r="B21" s="108" t="s">
        <v>277</v>
      </c>
      <c r="C21" s="108"/>
      <c r="D21" s="108"/>
      <c r="E21" s="108"/>
      <c r="F21" s="112">
        <f>F20+F16+F13</f>
        <v>1922633.5099999998</v>
      </c>
    </row>
    <row r="22" spans="1:6" ht="13.5" thickBot="1" x14ac:dyDescent="0.25">
      <c r="A22" s="108" t="s">
        <v>375</v>
      </c>
      <c r="B22" s="108"/>
      <c r="C22" s="108"/>
      <c r="D22" s="108"/>
      <c r="E22" s="108"/>
      <c r="F22" s="113">
        <f>F21</f>
        <v>1922633.5099999998</v>
      </c>
    </row>
    <row r="23" spans="1:6" ht="13.5" thickTop="1" x14ac:dyDescent="0.2">
      <c r="A23" s="108" t="s">
        <v>376</v>
      </c>
      <c r="B23" s="108"/>
      <c r="C23" s="108"/>
      <c r="D23" s="108"/>
      <c r="E23" s="108"/>
      <c r="F23" s="109"/>
    </row>
    <row r="24" spans="1:6" x14ac:dyDescent="0.2">
      <c r="A24" s="108"/>
      <c r="B24" s="108" t="s">
        <v>105</v>
      </c>
      <c r="C24" s="108"/>
      <c r="D24" s="108"/>
      <c r="E24" s="108"/>
      <c r="F24" s="109"/>
    </row>
    <row r="25" spans="1:6" x14ac:dyDescent="0.2">
      <c r="A25" s="108"/>
      <c r="B25" s="108"/>
      <c r="C25" s="108" t="s">
        <v>106</v>
      </c>
      <c r="D25" s="108"/>
      <c r="E25" s="108"/>
      <c r="F25" s="109"/>
    </row>
    <row r="26" spans="1:6" x14ac:dyDescent="0.2">
      <c r="A26" s="108"/>
      <c r="B26" s="108"/>
      <c r="C26" s="108"/>
      <c r="D26" s="108" t="s">
        <v>455</v>
      </c>
      <c r="E26" s="108"/>
      <c r="F26" s="109"/>
    </row>
    <row r="27" spans="1:6" ht="13.5" thickBot="1" x14ac:dyDescent="0.25">
      <c r="A27" s="108"/>
      <c r="B27" s="108"/>
      <c r="C27" s="108"/>
      <c r="D27" s="108"/>
      <c r="E27" s="108" t="s">
        <v>523</v>
      </c>
      <c r="F27" s="110">
        <v>1512.91</v>
      </c>
    </row>
    <row r="28" spans="1:6" x14ac:dyDescent="0.2">
      <c r="A28" s="108"/>
      <c r="B28" s="108"/>
      <c r="C28" s="108"/>
      <c r="D28" s="108" t="s">
        <v>457</v>
      </c>
      <c r="E28" s="108"/>
      <c r="F28" s="109">
        <f>F27</f>
        <v>1512.91</v>
      </c>
    </row>
    <row r="29" spans="1:6" x14ac:dyDescent="0.2">
      <c r="A29" s="108"/>
      <c r="B29" s="108"/>
      <c r="C29" s="108"/>
      <c r="D29" s="108" t="s">
        <v>377</v>
      </c>
      <c r="E29" s="108"/>
      <c r="F29" s="109"/>
    </row>
    <row r="30" spans="1:6" x14ac:dyDescent="0.2">
      <c r="A30" s="108"/>
      <c r="B30" s="108"/>
      <c r="C30" s="108"/>
      <c r="D30" s="108"/>
      <c r="E30" s="108" t="s">
        <v>524</v>
      </c>
      <c r="F30" s="109">
        <v>0</v>
      </c>
    </row>
    <row r="31" spans="1:6" x14ac:dyDescent="0.2">
      <c r="A31" s="108"/>
      <c r="B31" s="108"/>
      <c r="C31" s="108"/>
      <c r="D31" s="108"/>
      <c r="E31" s="108" t="s">
        <v>525</v>
      </c>
      <c r="F31" s="109">
        <v>1544393.7</v>
      </c>
    </row>
    <row r="32" spans="1:6" ht="13.5" thickBot="1" x14ac:dyDescent="0.25">
      <c r="A32" s="108"/>
      <c r="B32" s="108"/>
      <c r="C32" s="108"/>
      <c r="D32" s="108"/>
      <c r="E32" s="108" t="s">
        <v>526</v>
      </c>
      <c r="F32" s="111">
        <v>7472.03</v>
      </c>
    </row>
    <row r="33" spans="1:6" ht="13.5" thickBot="1" x14ac:dyDescent="0.25">
      <c r="A33" s="108"/>
      <c r="B33" s="108"/>
      <c r="C33" s="108"/>
      <c r="D33" s="108" t="s">
        <v>387</v>
      </c>
      <c r="E33" s="108"/>
      <c r="F33" s="112">
        <f>F30+F31+F32</f>
        <v>1551865.73</v>
      </c>
    </row>
    <row r="34" spans="1:6" ht="13.5" thickBot="1" x14ac:dyDescent="0.25">
      <c r="A34" s="108"/>
      <c r="B34" s="108"/>
      <c r="C34" s="108" t="s">
        <v>388</v>
      </c>
      <c r="D34" s="108"/>
      <c r="E34" s="108"/>
      <c r="F34" s="114">
        <f>F33+F28</f>
        <v>1553378.64</v>
      </c>
    </row>
    <row r="35" spans="1:6" x14ac:dyDescent="0.2">
      <c r="A35" s="108"/>
      <c r="B35" s="108" t="s">
        <v>324</v>
      </c>
      <c r="C35" s="108"/>
      <c r="D35" s="108"/>
      <c r="E35" s="108"/>
      <c r="F35" s="109">
        <f>F34</f>
        <v>1553378.64</v>
      </c>
    </row>
    <row r="36" spans="1:6" x14ac:dyDescent="0.2">
      <c r="A36" s="108"/>
      <c r="B36" s="108" t="s">
        <v>161</v>
      </c>
      <c r="C36" s="108"/>
      <c r="D36" s="108"/>
      <c r="E36" s="108"/>
      <c r="F36" s="109"/>
    </row>
    <row r="37" spans="1:6" x14ac:dyDescent="0.2">
      <c r="A37" s="108"/>
      <c r="B37" s="108"/>
      <c r="C37" s="108" t="s">
        <v>527</v>
      </c>
      <c r="D37" s="108"/>
      <c r="E37" s="108"/>
      <c r="F37" s="109">
        <v>308610.8</v>
      </c>
    </row>
    <row r="38" spans="1:6" ht="13.5" thickBot="1" x14ac:dyDescent="0.25">
      <c r="A38" s="108"/>
      <c r="B38" s="108"/>
      <c r="C38" s="108" t="s">
        <v>393</v>
      </c>
      <c r="D38" s="108"/>
      <c r="E38" s="108"/>
      <c r="F38" s="111">
        <v>60644.07</v>
      </c>
    </row>
    <row r="39" spans="1:6" ht="13.5" thickBot="1" x14ac:dyDescent="0.25">
      <c r="A39" s="108"/>
      <c r="B39" s="108" t="s">
        <v>335</v>
      </c>
      <c r="C39" s="108"/>
      <c r="D39" s="108"/>
      <c r="E39" s="108"/>
      <c r="F39" s="112">
        <f>F37+F38</f>
        <v>369254.87</v>
      </c>
    </row>
    <row r="40" spans="1:6" ht="13.5" thickBot="1" x14ac:dyDescent="0.25">
      <c r="A40" s="108" t="s">
        <v>394</v>
      </c>
      <c r="B40" s="108"/>
      <c r="C40" s="108"/>
      <c r="D40" s="108"/>
      <c r="E40" s="108"/>
      <c r="F40" s="113">
        <f>F35+F39</f>
        <v>1922633.5099999998</v>
      </c>
    </row>
    <row r="41" spans="1:6" ht="15.75" thickTop="1" x14ac:dyDescent="0.25">
      <c r="A41" s="107"/>
      <c r="B41" s="107"/>
      <c r="C41" s="107"/>
      <c r="D41" s="107"/>
      <c r="E41" s="107"/>
      <c r="F41" s="107"/>
    </row>
    <row r="42" spans="1:6" x14ac:dyDescent="0.2">
      <c r="F42" s="36">
        <f>F22-F40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41"/>
  <sheetViews>
    <sheetView zoomScale="75" zoomScaleNormal="75" zoomScaleSheetLayoutView="75" workbookViewId="0">
      <pane ySplit="4" topLeftCell="A101" activePane="bottomLeft" state="frozen"/>
      <selection activeCell="S11" sqref="S11"/>
      <selection pane="bottomLeft" activeCell="H128" sqref="H128:H131"/>
    </sheetView>
  </sheetViews>
  <sheetFormatPr defaultColWidth="7.140625" defaultRowHeight="15" x14ac:dyDescent="0.2"/>
  <cols>
    <col min="1" max="1" width="57" style="7" customWidth="1"/>
    <col min="2" max="2" width="25.85546875" style="149" customWidth="1"/>
    <col min="3" max="3" width="7.5703125" style="47" customWidth="1"/>
    <col min="4" max="4" width="21.42578125" style="149" customWidth="1"/>
    <col min="5" max="5" width="7.5703125" style="47" customWidth="1"/>
    <col min="6" max="6" width="21.42578125" style="149" customWidth="1"/>
    <col min="7" max="7" width="7.5703125" style="47" customWidth="1"/>
    <col min="8" max="8" width="21.42578125" style="149" customWidth="1"/>
    <col min="9" max="9" width="7.5703125" style="47" customWidth="1"/>
    <col min="10" max="10" width="22.42578125" style="149" customWidth="1"/>
    <col min="11" max="11" width="7.5703125" style="47" customWidth="1"/>
    <col min="12" max="12" width="21.42578125" style="149" customWidth="1"/>
    <col min="13" max="13" width="7.5703125" style="47" customWidth="1"/>
    <col min="14" max="14" width="21.42578125" style="149" customWidth="1"/>
    <col min="15" max="15" width="7.5703125" style="47" customWidth="1"/>
    <col min="16" max="16" width="25.85546875" style="49" customWidth="1"/>
    <col min="17" max="17" width="63.28515625" style="47" bestFit="1" customWidth="1"/>
    <col min="18" max="18" width="25.85546875" style="47" customWidth="1"/>
    <col min="19" max="19" width="7.5703125" style="47" customWidth="1"/>
    <col min="20" max="20" width="21.42578125" style="47" customWidth="1"/>
    <col min="21" max="21" width="7.5703125" style="47" customWidth="1"/>
    <col min="22" max="22" width="22.140625" style="47" customWidth="1"/>
    <col min="23" max="23" width="2.85546875" style="47" customWidth="1"/>
    <col min="24" max="24" width="21.140625" style="47" customWidth="1"/>
    <col min="25" max="25" width="2.85546875" style="47" customWidth="1"/>
    <col min="26" max="26" width="23" style="47" customWidth="1"/>
    <col min="27" max="27" width="2.85546875" style="47" customWidth="1"/>
    <col min="28" max="28" width="23" style="47" customWidth="1"/>
    <col min="29" max="29" width="2.85546875" style="47" customWidth="1"/>
    <col min="30" max="30" width="24.28515625" style="47" customWidth="1"/>
    <col min="31" max="31" width="2.85546875" style="47" customWidth="1"/>
    <col min="32" max="32" width="24.85546875" style="47" customWidth="1"/>
    <col min="33" max="33" width="63.28515625" style="7" bestFit="1" customWidth="1"/>
    <col min="34" max="34" width="24.42578125" style="7" customWidth="1"/>
    <col min="35" max="35" width="2.85546875" style="7" customWidth="1"/>
    <col min="36" max="36" width="25.42578125" style="7" customWidth="1"/>
    <col min="37" max="37" width="2.85546875" style="7" customWidth="1"/>
    <col min="38" max="38" width="22.85546875" style="7" bestFit="1" customWidth="1"/>
    <col min="39" max="39" width="2.85546875" style="7" customWidth="1"/>
    <col min="40" max="40" width="24" style="7" bestFit="1" customWidth="1"/>
    <col min="41" max="41" width="2.85546875" style="7" customWidth="1"/>
    <col min="42" max="42" width="17.140625" style="7" customWidth="1"/>
    <col min="43" max="43" width="11.28515625" style="7" bestFit="1" customWidth="1"/>
    <col min="44" max="16384" width="7.140625" style="7"/>
  </cols>
  <sheetData>
    <row r="1" spans="1:42" s="88" customFormat="1" ht="31.5" x14ac:dyDescent="0.2">
      <c r="A1" s="157" t="s">
        <v>253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 t="s">
        <v>253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 t="s">
        <v>253</v>
      </c>
      <c r="AH1" s="157"/>
      <c r="AI1" s="157"/>
      <c r="AJ1" s="157"/>
      <c r="AK1" s="157"/>
      <c r="AL1" s="157"/>
      <c r="AM1" s="157"/>
      <c r="AN1" s="157"/>
      <c r="AO1" s="86"/>
      <c r="AP1" s="87"/>
    </row>
    <row r="2" spans="1:42" s="88" customFormat="1" ht="31.5" x14ac:dyDescent="0.2">
      <c r="A2" s="157" t="s">
        <v>584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 t="s">
        <v>586</v>
      </c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 t="s">
        <v>252</v>
      </c>
      <c r="AH2" s="157"/>
      <c r="AI2" s="157"/>
      <c r="AJ2" s="157"/>
      <c r="AK2" s="157"/>
      <c r="AL2" s="157"/>
      <c r="AM2" s="157"/>
      <c r="AN2" s="157"/>
      <c r="AO2" s="86"/>
      <c r="AP2" s="87"/>
    </row>
    <row r="3" spans="1:42" s="88" customFormat="1" ht="43.5" customHeight="1" x14ac:dyDescent="0.2">
      <c r="B3" s="139"/>
      <c r="C3" s="89"/>
      <c r="D3" s="139"/>
      <c r="E3" s="89"/>
      <c r="F3" s="139"/>
      <c r="G3" s="89"/>
      <c r="H3" s="139"/>
      <c r="I3" s="89"/>
      <c r="J3" s="139"/>
      <c r="K3" s="89"/>
      <c r="L3" s="139"/>
      <c r="M3" s="89"/>
      <c r="N3" s="139"/>
      <c r="O3" s="89"/>
      <c r="P3" s="90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157" t="s">
        <v>585</v>
      </c>
      <c r="AH3" s="157"/>
      <c r="AI3" s="157"/>
      <c r="AJ3" s="157"/>
      <c r="AK3" s="157"/>
      <c r="AL3" s="157"/>
      <c r="AM3" s="157"/>
      <c r="AN3" s="157"/>
    </row>
    <row r="4" spans="1:42" s="91" customFormat="1" ht="79.5" thickBot="1" x14ac:dyDescent="0.25">
      <c r="A4" s="92"/>
      <c r="B4" s="151" t="s">
        <v>241</v>
      </c>
      <c r="C4" s="93"/>
      <c r="D4" s="151" t="s">
        <v>242</v>
      </c>
      <c r="E4" s="93"/>
      <c r="F4" s="151" t="s">
        <v>243</v>
      </c>
      <c r="G4" s="93"/>
      <c r="H4" s="151" t="s">
        <v>244</v>
      </c>
      <c r="I4" s="93"/>
      <c r="J4" s="151" t="s">
        <v>245</v>
      </c>
      <c r="K4" s="93"/>
      <c r="L4" s="151" t="s">
        <v>479</v>
      </c>
      <c r="M4" s="93"/>
      <c r="N4" s="140" t="s">
        <v>508</v>
      </c>
      <c r="O4" s="93"/>
      <c r="P4" s="94" t="s">
        <v>246</v>
      </c>
      <c r="Q4" s="95"/>
      <c r="R4" s="93" t="s">
        <v>241</v>
      </c>
      <c r="S4" s="93"/>
      <c r="T4" s="93" t="s">
        <v>242</v>
      </c>
      <c r="U4" s="93"/>
      <c r="V4" s="93" t="s">
        <v>243</v>
      </c>
      <c r="W4" s="93"/>
      <c r="X4" s="93" t="s">
        <v>244</v>
      </c>
      <c r="Y4" s="93"/>
      <c r="Z4" s="93" t="s">
        <v>245</v>
      </c>
      <c r="AA4" s="93"/>
      <c r="AB4" s="93" t="s">
        <v>479</v>
      </c>
      <c r="AC4" s="93"/>
      <c r="AD4" s="105" t="s">
        <v>508</v>
      </c>
      <c r="AE4" s="93"/>
      <c r="AF4" s="94" t="s">
        <v>246</v>
      </c>
      <c r="AG4" s="96"/>
      <c r="AH4" s="97">
        <v>2018</v>
      </c>
      <c r="AI4" s="97"/>
      <c r="AJ4" s="97">
        <v>2017</v>
      </c>
      <c r="AK4" s="97"/>
      <c r="AL4" s="98" t="s">
        <v>339</v>
      </c>
      <c r="AM4" s="98"/>
      <c r="AN4" s="98" t="s">
        <v>340</v>
      </c>
      <c r="AO4" s="98"/>
      <c r="AP4" s="98" t="s">
        <v>573</v>
      </c>
    </row>
    <row r="5" spans="1:42" s="54" customFormat="1" ht="24.95" customHeight="1" x14ac:dyDescent="0.2">
      <c r="A5" s="50" t="s">
        <v>2</v>
      </c>
      <c r="B5" s="141"/>
      <c r="C5" s="51"/>
      <c r="D5" s="141"/>
      <c r="E5" s="51"/>
      <c r="F5" s="141"/>
      <c r="G5" s="51"/>
      <c r="H5" s="141"/>
      <c r="I5" s="51"/>
      <c r="J5" s="141"/>
      <c r="K5" s="51"/>
      <c r="L5" s="141"/>
      <c r="M5" s="51"/>
      <c r="N5" s="141"/>
      <c r="O5" s="51"/>
      <c r="P5" s="52"/>
      <c r="Q5" s="53" t="s">
        <v>2</v>
      </c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0" t="s">
        <v>2</v>
      </c>
    </row>
    <row r="6" spans="1:42" s="54" customFormat="1" ht="24.95" customHeight="1" x14ac:dyDescent="0.2">
      <c r="A6" s="50" t="s">
        <v>254</v>
      </c>
      <c r="B6" s="141"/>
      <c r="C6" s="51"/>
      <c r="D6" s="141"/>
      <c r="E6" s="51"/>
      <c r="F6" s="141"/>
      <c r="G6" s="51"/>
      <c r="H6" s="141"/>
      <c r="I6" s="51"/>
      <c r="J6" s="141"/>
      <c r="K6" s="51"/>
      <c r="L6" s="141"/>
      <c r="M6" s="51"/>
      <c r="N6" s="141"/>
      <c r="O6" s="51"/>
      <c r="P6" s="52"/>
      <c r="Q6" s="53" t="s">
        <v>254</v>
      </c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0" t="s">
        <v>254</v>
      </c>
    </row>
    <row r="7" spans="1:42" s="54" customFormat="1" ht="24.95" customHeight="1" x14ac:dyDescent="0.35">
      <c r="A7" s="55" t="s">
        <v>247</v>
      </c>
      <c r="B7" s="142">
        <f>SUM(CNT!S9:S15)</f>
        <v>-1090652.3400000001</v>
      </c>
      <c r="C7" s="56"/>
      <c r="D7" s="142">
        <f>SUM(BPM!S11)</f>
        <v>1571547.17</v>
      </c>
      <c r="E7" s="56"/>
      <c r="F7" s="142">
        <f>SUM(DEP!S7)</f>
        <v>479155.61</v>
      </c>
      <c r="G7" s="56"/>
      <c r="H7" s="142">
        <f>Lending!F13</f>
        <v>1000</v>
      </c>
      <c r="I7" s="51"/>
      <c r="J7" s="142">
        <f>BSC!F5+BSC!F6+BSC!F7</f>
        <v>500907.23</v>
      </c>
      <c r="K7" s="51"/>
      <c r="L7" s="142">
        <f>'Oliari Co'!F10</f>
        <v>228092.27</v>
      </c>
      <c r="M7" s="51"/>
      <c r="N7" s="142">
        <f>'722 Bedford St'!E10</f>
        <v>182407.86</v>
      </c>
      <c r="O7" s="51"/>
      <c r="P7" s="56">
        <f>SUM(B7:N7)</f>
        <v>1872457.7999999998</v>
      </c>
      <c r="Q7" s="57" t="s">
        <v>247</v>
      </c>
      <c r="R7" s="56">
        <f>SUM('CNT 10.31.17'!S10:S15)</f>
        <v>6313871.0200000005</v>
      </c>
      <c r="S7" s="56"/>
      <c r="T7" s="56">
        <f>SUM('BPM 10.31.17'!S7)</f>
        <v>921283.31</v>
      </c>
      <c r="U7" s="56"/>
      <c r="V7" s="56">
        <f>'DEP 10.31.17'!S7</f>
        <v>342537.71</v>
      </c>
      <c r="W7" s="56"/>
      <c r="X7" s="56">
        <f>'CNT Lending 10.31.17'!F13</f>
        <v>252378.16</v>
      </c>
      <c r="Y7" s="51"/>
      <c r="Z7" s="56">
        <f>'BSC 10.31.17'!F5+'BSC 10.31.17'!F7+'BSC 10.31.17'!F8+'BSC 10.31.17'!F6</f>
        <v>462892.4</v>
      </c>
      <c r="AA7" s="51"/>
      <c r="AB7" s="56">
        <f>'Oliari Co 10.31.17'!F10+'Oliari Co 10.31.17'!F12</f>
        <v>453160.14999999997</v>
      </c>
      <c r="AC7" s="51"/>
      <c r="AD7" s="56">
        <f>'722 Bedford St 10.31.17'!F5</f>
        <v>275530.45</v>
      </c>
      <c r="AE7" s="51"/>
      <c r="AF7" s="56">
        <f>SUM(R7:AD7)</f>
        <v>9021653.1999999993</v>
      </c>
      <c r="AG7" s="55" t="s">
        <v>247</v>
      </c>
      <c r="AH7" s="58">
        <f t="shared" ref="AH7:AH28" si="0">P7</f>
        <v>1872457.7999999998</v>
      </c>
      <c r="AI7" s="58"/>
      <c r="AJ7" s="58">
        <f>AF7</f>
        <v>9021653.1999999993</v>
      </c>
      <c r="AK7" s="58"/>
      <c r="AL7" s="58">
        <f t="shared" ref="AL7:AL13" si="1">AH7-AJ7</f>
        <v>-7149195.3999999994</v>
      </c>
      <c r="AM7" s="58"/>
      <c r="AN7" s="59">
        <f>AH7/AJ7</f>
        <v>0.20755151616779061</v>
      </c>
      <c r="AO7" s="59"/>
      <c r="AP7" s="60">
        <f t="shared" ref="AP7:AP13" si="2">AN7-1</f>
        <v>-0.79244848383220945</v>
      </c>
    </row>
    <row r="8" spans="1:42" s="54" customFormat="1" ht="24.95" customHeight="1" x14ac:dyDescent="0.2">
      <c r="A8" s="54" t="s">
        <v>248</v>
      </c>
      <c r="B8" s="142">
        <f>CNT!S16</f>
        <v>17781925</v>
      </c>
      <c r="C8" s="56"/>
      <c r="D8" s="142">
        <f>SUM(BPM!S12:S13)</f>
        <v>701939.53</v>
      </c>
      <c r="E8" s="56"/>
      <c r="F8" s="142">
        <f>SUM(DEP!S8)</f>
        <v>263142.57</v>
      </c>
      <c r="G8" s="56"/>
      <c r="H8" s="142">
        <v>0</v>
      </c>
      <c r="I8" s="51"/>
      <c r="J8" s="142">
        <v>0</v>
      </c>
      <c r="K8" s="51"/>
      <c r="L8" s="142">
        <v>0</v>
      </c>
      <c r="M8" s="51"/>
      <c r="N8" s="142">
        <v>0</v>
      </c>
      <c r="O8" s="51"/>
      <c r="P8" s="56">
        <f t="shared" ref="P8:P28" si="3">SUM(B8:N8)</f>
        <v>18747007.100000001</v>
      </c>
      <c r="Q8" s="51" t="s">
        <v>248</v>
      </c>
      <c r="R8" s="56">
        <f>'CNT 10.31.17'!S16</f>
        <v>7379476.4100000001</v>
      </c>
      <c r="S8" s="56"/>
      <c r="T8" s="56">
        <f>SUM('BPM 10.31.17'!S8:S9)</f>
        <v>436093.66</v>
      </c>
      <c r="U8" s="56"/>
      <c r="V8" s="56">
        <f>'DEP 10.31.17'!S8</f>
        <v>38902.949999999997</v>
      </c>
      <c r="W8" s="56"/>
      <c r="X8" s="56">
        <v>0</v>
      </c>
      <c r="Y8" s="51"/>
      <c r="Z8" s="56">
        <v>0</v>
      </c>
      <c r="AA8" s="51"/>
      <c r="AB8" s="56">
        <v>0</v>
      </c>
      <c r="AC8" s="51"/>
      <c r="AD8" s="56">
        <v>0</v>
      </c>
      <c r="AE8" s="51"/>
      <c r="AF8" s="56">
        <f t="shared" ref="AF8:AF26" si="4">SUM(R8:AD8)</f>
        <v>7854473.0200000005</v>
      </c>
      <c r="AG8" s="54" t="s">
        <v>248</v>
      </c>
      <c r="AH8" s="58">
        <f t="shared" si="0"/>
        <v>18747007.100000001</v>
      </c>
      <c r="AI8" s="58"/>
      <c r="AJ8" s="58">
        <f t="shared" ref="AJ8:AJ28" si="5">AF8</f>
        <v>7854473.0200000005</v>
      </c>
      <c r="AK8" s="58"/>
      <c r="AL8" s="58">
        <f t="shared" si="1"/>
        <v>10892534.080000002</v>
      </c>
      <c r="AM8" s="58"/>
      <c r="AN8" s="59">
        <f>AH8/AJ8</f>
        <v>2.386793748258365</v>
      </c>
      <c r="AO8" s="59"/>
      <c r="AP8" s="60">
        <f t="shared" si="2"/>
        <v>1.386793748258365</v>
      </c>
    </row>
    <row r="9" spans="1:42" s="54" customFormat="1" ht="24.95" customHeight="1" x14ac:dyDescent="0.2">
      <c r="A9" s="54" t="s">
        <v>255</v>
      </c>
      <c r="B9" s="142">
        <f>CNT!S46</f>
        <v>97927.93</v>
      </c>
      <c r="C9" s="56"/>
      <c r="D9" s="142">
        <v>0</v>
      </c>
      <c r="E9" s="56"/>
      <c r="F9" s="142">
        <v>0</v>
      </c>
      <c r="G9" s="56"/>
      <c r="H9" s="142">
        <f>Lending!F16+Lending!F18</f>
        <v>694083.7</v>
      </c>
      <c r="I9" s="51"/>
      <c r="J9" s="142">
        <v>0</v>
      </c>
      <c r="K9" s="51"/>
      <c r="L9" s="142">
        <v>0</v>
      </c>
      <c r="M9" s="51"/>
      <c r="N9" s="142">
        <v>0</v>
      </c>
      <c r="O9" s="51"/>
      <c r="P9" s="56">
        <f t="shared" si="3"/>
        <v>792011.62999999989</v>
      </c>
      <c r="Q9" s="51" t="s">
        <v>255</v>
      </c>
      <c r="R9" s="56">
        <v>0</v>
      </c>
      <c r="S9" s="56">
        <v>0</v>
      </c>
      <c r="T9" s="56">
        <v>0</v>
      </c>
      <c r="U9" s="56"/>
      <c r="V9" s="56">
        <v>0</v>
      </c>
      <c r="W9" s="56"/>
      <c r="X9" s="56">
        <f>'CNT Lending 10.31.17'!F15+'CNT Lending 10.31.17'!F18</f>
        <v>1548976.18</v>
      </c>
      <c r="Y9" s="51"/>
      <c r="Z9" s="56">
        <v>0</v>
      </c>
      <c r="AA9" s="51"/>
      <c r="AB9" s="56">
        <v>0</v>
      </c>
      <c r="AC9" s="51"/>
      <c r="AD9" s="56">
        <v>0</v>
      </c>
      <c r="AE9" s="51"/>
      <c r="AF9" s="56">
        <f t="shared" si="4"/>
        <v>1548976.18</v>
      </c>
      <c r="AG9" s="54" t="s">
        <v>255</v>
      </c>
      <c r="AH9" s="58">
        <f t="shared" si="0"/>
        <v>792011.62999999989</v>
      </c>
      <c r="AI9" s="58"/>
      <c r="AJ9" s="58">
        <f t="shared" si="5"/>
        <v>1548976.18</v>
      </c>
      <c r="AK9" s="58"/>
      <c r="AL9" s="58">
        <f t="shared" si="1"/>
        <v>-756964.55</v>
      </c>
      <c r="AM9" s="58"/>
      <c r="AN9" s="59">
        <f t="shared" ref="AN9:AN13" si="6">AH9/AJ9</f>
        <v>0.51131298223062405</v>
      </c>
      <c r="AO9" s="59"/>
      <c r="AP9" s="60">
        <f t="shared" si="2"/>
        <v>-0.48868701776937595</v>
      </c>
    </row>
    <row r="10" spans="1:42" s="54" customFormat="1" ht="24.95" customHeight="1" x14ac:dyDescent="0.2">
      <c r="A10" s="54" t="s">
        <v>256</v>
      </c>
      <c r="B10" s="142">
        <v>0</v>
      </c>
      <c r="C10" s="56"/>
      <c r="D10" s="142">
        <v>0</v>
      </c>
      <c r="E10" s="56"/>
      <c r="F10" s="142">
        <f>DEP!S15+DEP!S16+DEP!S17</f>
        <v>109247.75</v>
      </c>
      <c r="G10" s="56"/>
      <c r="H10" s="142">
        <v>0</v>
      </c>
      <c r="I10" s="51"/>
      <c r="J10" s="142">
        <v>0</v>
      </c>
      <c r="K10" s="51"/>
      <c r="L10" s="142">
        <v>0</v>
      </c>
      <c r="M10" s="51"/>
      <c r="N10" s="142">
        <v>0</v>
      </c>
      <c r="O10" s="51"/>
      <c r="P10" s="56">
        <f t="shared" si="3"/>
        <v>109247.75</v>
      </c>
      <c r="Q10" s="51" t="s">
        <v>256</v>
      </c>
      <c r="R10" s="56">
        <v>0</v>
      </c>
      <c r="S10" s="56">
        <v>0</v>
      </c>
      <c r="T10" s="56">
        <v>0</v>
      </c>
      <c r="U10" s="56"/>
      <c r="V10" s="56">
        <f>'DEP 10.31.17'!S16</f>
        <v>160390.79999999999</v>
      </c>
      <c r="W10" s="56"/>
      <c r="X10" s="56">
        <v>0</v>
      </c>
      <c r="Y10" s="51"/>
      <c r="Z10" s="56">
        <v>0</v>
      </c>
      <c r="AA10" s="51"/>
      <c r="AB10" s="56">
        <v>0</v>
      </c>
      <c r="AC10" s="51"/>
      <c r="AD10" s="56">
        <v>0</v>
      </c>
      <c r="AE10" s="51"/>
      <c r="AF10" s="56">
        <f t="shared" si="4"/>
        <v>160390.79999999999</v>
      </c>
      <c r="AG10" s="54" t="s">
        <v>256</v>
      </c>
      <c r="AH10" s="58">
        <f t="shared" si="0"/>
        <v>109247.75</v>
      </c>
      <c r="AI10" s="58"/>
      <c r="AJ10" s="58">
        <f t="shared" si="5"/>
        <v>160390.79999999999</v>
      </c>
      <c r="AK10" s="58"/>
      <c r="AL10" s="58">
        <f t="shared" si="1"/>
        <v>-51143.049999999988</v>
      </c>
      <c r="AM10" s="58"/>
      <c r="AN10" s="59">
        <f t="shared" si="6"/>
        <v>0.68113476583444943</v>
      </c>
      <c r="AO10" s="59"/>
      <c r="AP10" s="60">
        <f t="shared" si="2"/>
        <v>-0.31886523416555057</v>
      </c>
    </row>
    <row r="11" spans="1:42" s="54" customFormat="1" ht="24.95" customHeight="1" x14ac:dyDescent="0.2">
      <c r="A11" s="54" t="s">
        <v>257</v>
      </c>
      <c r="B11" s="142">
        <f>SUM(CNT!S29:S32,CNT!S40:S42)</f>
        <v>786292.29</v>
      </c>
      <c r="C11" s="56"/>
      <c r="D11" s="142">
        <f>SUM(BPM!S17)</f>
        <v>1700000</v>
      </c>
      <c r="E11" s="56"/>
      <c r="F11" s="142">
        <f>DEP!S10+DEP!S9+DEP!S11</f>
        <v>4003700</v>
      </c>
      <c r="G11" s="56"/>
      <c r="H11" s="142">
        <v>0</v>
      </c>
      <c r="I11" s="51"/>
      <c r="J11" s="142">
        <v>0</v>
      </c>
      <c r="K11" s="51"/>
      <c r="L11" s="142">
        <f>'Oliari Co'!F16</f>
        <v>1604222.24</v>
      </c>
      <c r="M11" s="51"/>
      <c r="N11" s="142">
        <f>'722 Bedford St'!E13+'722 Bedford St'!E14</f>
        <v>32500</v>
      </c>
      <c r="O11" s="51"/>
      <c r="P11" s="56">
        <f t="shared" si="3"/>
        <v>8126714.5300000003</v>
      </c>
      <c r="Q11" s="51" t="s">
        <v>257</v>
      </c>
      <c r="R11" s="56">
        <f>SUM('CNT 10.31.17'!S37:S38,'CNT 10.31.17'!S27:S29)</f>
        <v>383291.84</v>
      </c>
      <c r="S11" s="56"/>
      <c r="T11" s="56">
        <f>'BPM 10.31.17'!S19</f>
        <v>1200000</v>
      </c>
      <c r="U11" s="56"/>
      <c r="V11" s="56">
        <f>SUM('DEP 10.31.17'!S9:S10)</f>
        <v>2493000</v>
      </c>
      <c r="W11" s="56"/>
      <c r="X11" s="56">
        <f>'CNT Lending 10.31.17'!F19</f>
        <v>121279.17</v>
      </c>
      <c r="Y11" s="51"/>
      <c r="Z11" s="56">
        <v>0</v>
      </c>
      <c r="AA11" s="51"/>
      <c r="AB11" s="56">
        <f>'Oliari Co 10.31.17'!F13+'Oliari Co 10.31.17'!F14</f>
        <v>1339265.55</v>
      </c>
      <c r="AC11" s="51"/>
      <c r="AD11" s="56">
        <f>'Oliari Co 10.31.17'!H13+'Oliari Co 10.31.17'!H14</f>
        <v>0</v>
      </c>
      <c r="AE11" s="51"/>
      <c r="AF11" s="56">
        <f t="shared" si="4"/>
        <v>5536836.5599999996</v>
      </c>
      <c r="AG11" s="54" t="s">
        <v>257</v>
      </c>
      <c r="AH11" s="58">
        <f t="shared" si="0"/>
        <v>8126714.5300000003</v>
      </c>
      <c r="AI11" s="58"/>
      <c r="AJ11" s="58">
        <f t="shared" si="5"/>
        <v>5536836.5599999996</v>
      </c>
      <c r="AK11" s="58"/>
      <c r="AL11" s="58">
        <f t="shared" si="1"/>
        <v>2589877.9700000007</v>
      </c>
      <c r="AM11" s="58"/>
      <c r="AN11" s="59">
        <f t="shared" si="6"/>
        <v>1.4677540942259637</v>
      </c>
      <c r="AO11" s="59"/>
      <c r="AP11" s="60">
        <f t="shared" si="2"/>
        <v>0.4677540942259637</v>
      </c>
    </row>
    <row r="12" spans="1:42" s="54" customFormat="1" ht="24.95" customHeight="1" x14ac:dyDescent="0.2">
      <c r="A12" s="54" t="s">
        <v>258</v>
      </c>
      <c r="B12" s="143">
        <f>SUM(CNT!S43:S45)</f>
        <v>5682898.3200000003</v>
      </c>
      <c r="C12" s="61"/>
      <c r="D12" s="143">
        <v>0</v>
      </c>
      <c r="E12" s="61"/>
      <c r="F12" s="143">
        <v>0</v>
      </c>
      <c r="G12" s="61"/>
      <c r="H12" s="143">
        <v>0</v>
      </c>
      <c r="I12" s="62"/>
      <c r="J12" s="143">
        <v>0</v>
      </c>
      <c r="K12" s="62"/>
      <c r="L12" s="143">
        <v>0</v>
      </c>
      <c r="M12" s="62"/>
      <c r="N12" s="143">
        <v>0</v>
      </c>
      <c r="O12" s="62"/>
      <c r="P12" s="56">
        <f t="shared" si="3"/>
        <v>5682898.3200000003</v>
      </c>
      <c r="Q12" s="51" t="s">
        <v>258</v>
      </c>
      <c r="R12" s="61">
        <f>SUM('CNT 10.31.17'!S39:S40)</f>
        <v>7209601.04</v>
      </c>
      <c r="S12" s="61"/>
      <c r="T12" s="61">
        <v>0</v>
      </c>
      <c r="U12" s="61"/>
      <c r="V12" s="61">
        <v>0</v>
      </c>
      <c r="W12" s="61"/>
      <c r="X12" s="61">
        <v>0</v>
      </c>
      <c r="Y12" s="62"/>
      <c r="Z12" s="61">
        <v>0</v>
      </c>
      <c r="AA12" s="62"/>
      <c r="AB12" s="61">
        <v>0</v>
      </c>
      <c r="AC12" s="62"/>
      <c r="AD12" s="61">
        <v>0</v>
      </c>
      <c r="AE12" s="62"/>
      <c r="AF12" s="56">
        <f t="shared" si="4"/>
        <v>7209601.04</v>
      </c>
      <c r="AG12" s="54" t="s">
        <v>258</v>
      </c>
      <c r="AH12" s="58">
        <f t="shared" si="0"/>
        <v>5682898.3200000003</v>
      </c>
      <c r="AI12" s="63"/>
      <c r="AJ12" s="58">
        <f t="shared" si="5"/>
        <v>7209601.04</v>
      </c>
      <c r="AK12" s="58"/>
      <c r="AL12" s="58">
        <f t="shared" si="1"/>
        <v>-1526702.7199999997</v>
      </c>
      <c r="AM12" s="58"/>
      <c r="AN12" s="59">
        <f t="shared" si="6"/>
        <v>0.78824033236657443</v>
      </c>
      <c r="AO12" s="59"/>
      <c r="AP12" s="60">
        <f t="shared" si="2"/>
        <v>-0.21175966763342557</v>
      </c>
    </row>
    <row r="13" spans="1:42" s="54" customFormat="1" ht="24.95" customHeight="1" x14ac:dyDescent="0.2">
      <c r="A13" s="64" t="s">
        <v>259</v>
      </c>
      <c r="B13" s="142">
        <f>CNT!S38</f>
        <v>569501</v>
      </c>
      <c r="C13" s="56"/>
      <c r="D13" s="142">
        <v>0</v>
      </c>
      <c r="E13" s="56"/>
      <c r="F13" s="142">
        <v>0</v>
      </c>
      <c r="G13" s="56"/>
      <c r="H13" s="142">
        <v>0</v>
      </c>
      <c r="I13" s="56"/>
      <c r="J13" s="142">
        <v>0</v>
      </c>
      <c r="K13" s="56"/>
      <c r="L13" s="142">
        <v>0</v>
      </c>
      <c r="M13" s="56"/>
      <c r="N13" s="142">
        <v>0</v>
      </c>
      <c r="O13" s="56"/>
      <c r="P13" s="56">
        <f t="shared" si="3"/>
        <v>569501</v>
      </c>
      <c r="Q13" s="65" t="s">
        <v>259</v>
      </c>
      <c r="R13" s="56">
        <f>'CNT 10.31.17'!S36</f>
        <v>182789</v>
      </c>
      <c r="S13" s="56"/>
      <c r="T13" s="56">
        <v>0</v>
      </c>
      <c r="U13" s="56"/>
      <c r="V13" s="56">
        <f>'DEP 10.31.17'!S15+'DEP 10.31.17'!S13</f>
        <v>192.95</v>
      </c>
      <c r="W13" s="56"/>
      <c r="X13" s="56">
        <v>0</v>
      </c>
      <c r="Y13" s="56"/>
      <c r="Z13" s="56">
        <v>0</v>
      </c>
      <c r="AA13" s="56"/>
      <c r="AB13" s="56">
        <v>0</v>
      </c>
      <c r="AC13" s="56"/>
      <c r="AD13" s="56">
        <v>0</v>
      </c>
      <c r="AE13" s="56"/>
      <c r="AF13" s="56">
        <f t="shared" si="4"/>
        <v>182981.95</v>
      </c>
      <c r="AG13" s="64" t="s">
        <v>259</v>
      </c>
      <c r="AH13" s="58">
        <f t="shared" si="0"/>
        <v>569501</v>
      </c>
      <c r="AI13" s="58"/>
      <c r="AJ13" s="58">
        <f t="shared" si="5"/>
        <v>182981.95</v>
      </c>
      <c r="AK13" s="58"/>
      <c r="AL13" s="58">
        <f t="shared" si="1"/>
        <v>386519.05</v>
      </c>
      <c r="AM13" s="58"/>
      <c r="AN13" s="59">
        <f t="shared" si="6"/>
        <v>3.1123343040119531</v>
      </c>
      <c r="AO13" s="59"/>
      <c r="AP13" s="60">
        <f t="shared" si="2"/>
        <v>2.1123343040119531</v>
      </c>
    </row>
    <row r="14" spans="1:42" s="54" customFormat="1" ht="24.95" customHeight="1" x14ac:dyDescent="0.2">
      <c r="A14" s="54" t="s">
        <v>249</v>
      </c>
      <c r="B14" s="142">
        <f>CNT!S18</f>
        <v>59924326.280000001</v>
      </c>
      <c r="C14" s="56"/>
      <c r="D14" s="142">
        <f>BPM!S14</f>
        <v>503798.51</v>
      </c>
      <c r="E14" s="56"/>
      <c r="F14" s="142">
        <v>0</v>
      </c>
      <c r="G14" s="56"/>
      <c r="H14" s="142">
        <v>0</v>
      </c>
      <c r="I14" s="51"/>
      <c r="J14" s="142">
        <v>0</v>
      </c>
      <c r="K14" s="51"/>
      <c r="L14" s="142">
        <v>0</v>
      </c>
      <c r="M14" s="51"/>
      <c r="N14" s="142">
        <v>0</v>
      </c>
      <c r="O14" s="51"/>
      <c r="P14" s="56">
        <f t="shared" si="3"/>
        <v>60428124.789999999</v>
      </c>
      <c r="Q14" s="54" t="s">
        <v>249</v>
      </c>
      <c r="R14" s="56">
        <f>'CNT 10.31.17'!S17</f>
        <v>89226370.209999993</v>
      </c>
      <c r="S14" s="56"/>
      <c r="T14" s="56">
        <f>'BPM 10.31.17'!S10</f>
        <v>256344.56</v>
      </c>
      <c r="U14" s="56"/>
      <c r="V14" s="56">
        <v>0</v>
      </c>
      <c r="W14" s="56"/>
      <c r="X14" s="56">
        <v>0</v>
      </c>
      <c r="Y14" s="51"/>
      <c r="Z14" s="56">
        <v>0</v>
      </c>
      <c r="AA14" s="51"/>
      <c r="AB14" s="56">
        <v>0</v>
      </c>
      <c r="AC14" s="51"/>
      <c r="AD14" s="56">
        <v>0</v>
      </c>
      <c r="AE14" s="51"/>
      <c r="AF14" s="56">
        <f t="shared" si="4"/>
        <v>89482714.769999996</v>
      </c>
      <c r="AG14" s="54" t="s">
        <v>249</v>
      </c>
      <c r="AH14" s="58">
        <f t="shared" si="0"/>
        <v>60428124.789999999</v>
      </c>
      <c r="AI14" s="58"/>
      <c r="AJ14" s="58">
        <f t="shared" si="5"/>
        <v>89482714.769999996</v>
      </c>
      <c r="AK14" s="58"/>
      <c r="AL14" s="58">
        <f t="shared" ref="AL14:AL28" si="7">AH14-AJ14</f>
        <v>-29054589.979999997</v>
      </c>
      <c r="AM14" s="58"/>
      <c r="AN14" s="59">
        <f t="shared" ref="AN14:AN24" si="8">AH14/AJ14</f>
        <v>0.67530500103087121</v>
      </c>
      <c r="AO14" s="59"/>
      <c r="AP14" s="60">
        <f t="shared" ref="AP14:AP29" si="9">AN14-1</f>
        <v>-0.32469499896912879</v>
      </c>
    </row>
    <row r="15" spans="1:42" s="54" customFormat="1" ht="24.95" customHeight="1" x14ac:dyDescent="0.2">
      <c r="A15" s="54" t="s">
        <v>250</v>
      </c>
      <c r="B15" s="142">
        <f>CNT!S19</f>
        <v>105015236.68000001</v>
      </c>
      <c r="C15" s="56"/>
      <c r="D15" s="142">
        <f>BPM!S15</f>
        <v>92203.95</v>
      </c>
      <c r="E15" s="56"/>
      <c r="F15" s="142">
        <v>0</v>
      </c>
      <c r="G15" s="56"/>
      <c r="H15" s="142">
        <v>0</v>
      </c>
      <c r="I15" s="51"/>
      <c r="J15" s="142">
        <v>0</v>
      </c>
      <c r="K15" s="51"/>
      <c r="L15" s="142">
        <v>0</v>
      </c>
      <c r="M15" s="51"/>
      <c r="N15" s="142">
        <v>0</v>
      </c>
      <c r="O15" s="51"/>
      <c r="P15" s="56">
        <f t="shared" si="3"/>
        <v>105107440.63000001</v>
      </c>
      <c r="Q15" s="54" t="s">
        <v>250</v>
      </c>
      <c r="R15" s="56">
        <f>'CNT 10.31.17'!S18</f>
        <v>77850163.879999995</v>
      </c>
      <c r="S15" s="56"/>
      <c r="T15" s="56">
        <f>'BPM 10.31.17'!S11</f>
        <v>7999.2</v>
      </c>
      <c r="U15" s="56"/>
      <c r="V15" s="56">
        <v>0</v>
      </c>
      <c r="W15" s="56"/>
      <c r="X15" s="56">
        <v>0</v>
      </c>
      <c r="Y15" s="51"/>
      <c r="Z15" s="56">
        <v>0</v>
      </c>
      <c r="AA15" s="51"/>
      <c r="AB15" s="56">
        <v>0</v>
      </c>
      <c r="AC15" s="51"/>
      <c r="AD15" s="56">
        <v>0</v>
      </c>
      <c r="AE15" s="51"/>
      <c r="AF15" s="56">
        <f t="shared" si="4"/>
        <v>77858163.079999998</v>
      </c>
      <c r="AG15" s="54" t="s">
        <v>250</v>
      </c>
      <c r="AH15" s="58">
        <f t="shared" si="0"/>
        <v>105107440.63000001</v>
      </c>
      <c r="AI15" s="58"/>
      <c r="AJ15" s="58">
        <f t="shared" si="5"/>
        <v>77858163.079999998</v>
      </c>
      <c r="AK15" s="58"/>
      <c r="AL15" s="58">
        <f t="shared" si="7"/>
        <v>27249277.550000012</v>
      </c>
      <c r="AM15" s="58"/>
      <c r="AN15" s="59">
        <f t="shared" si="8"/>
        <v>1.3499861346844404</v>
      </c>
      <c r="AO15" s="59"/>
      <c r="AP15" s="60">
        <f t="shared" si="9"/>
        <v>0.3499861346844404</v>
      </c>
    </row>
    <row r="16" spans="1:42" s="54" customFormat="1" ht="24.95" customHeight="1" x14ac:dyDescent="0.2">
      <c r="A16" s="54" t="s">
        <v>251</v>
      </c>
      <c r="B16" s="142">
        <f>CNT!S20</f>
        <v>2912451.3</v>
      </c>
      <c r="C16" s="56"/>
      <c r="D16" s="142">
        <f>BPM!S16</f>
        <v>0</v>
      </c>
      <c r="E16" s="56"/>
      <c r="F16" s="142">
        <v>0</v>
      </c>
      <c r="G16" s="56"/>
      <c r="H16" s="142">
        <v>0</v>
      </c>
      <c r="I16" s="51"/>
      <c r="J16" s="142">
        <v>0</v>
      </c>
      <c r="K16" s="51"/>
      <c r="L16" s="142">
        <v>0</v>
      </c>
      <c r="M16" s="51"/>
      <c r="N16" s="142">
        <v>0</v>
      </c>
      <c r="O16" s="51"/>
      <c r="P16" s="56">
        <f t="shared" si="3"/>
        <v>2912451.3</v>
      </c>
      <c r="Q16" s="54" t="s">
        <v>251</v>
      </c>
      <c r="R16" s="56">
        <f>'CNT 10.31.17'!S19</f>
        <v>3139329.88</v>
      </c>
      <c r="S16" s="56"/>
      <c r="T16" s="56">
        <f>'BPM 10.31.17'!S12</f>
        <v>2911.53</v>
      </c>
      <c r="U16" s="56"/>
      <c r="V16" s="56">
        <v>0</v>
      </c>
      <c r="W16" s="56"/>
      <c r="X16" s="56">
        <v>0</v>
      </c>
      <c r="Y16" s="51"/>
      <c r="Z16" s="56">
        <v>0</v>
      </c>
      <c r="AA16" s="51"/>
      <c r="AB16" s="56">
        <v>0</v>
      </c>
      <c r="AC16" s="51"/>
      <c r="AD16" s="56">
        <v>0</v>
      </c>
      <c r="AE16" s="51"/>
      <c r="AF16" s="56">
        <f t="shared" si="4"/>
        <v>3142241.4099999997</v>
      </c>
      <c r="AG16" s="54" t="s">
        <v>251</v>
      </c>
      <c r="AH16" s="58">
        <f t="shared" si="0"/>
        <v>2912451.3</v>
      </c>
      <c r="AI16" s="58"/>
      <c r="AJ16" s="58">
        <f t="shared" si="5"/>
        <v>3142241.4099999997</v>
      </c>
      <c r="AK16" s="58"/>
      <c r="AL16" s="58">
        <f t="shared" si="7"/>
        <v>-229790.10999999987</v>
      </c>
      <c r="AM16" s="58"/>
      <c r="AN16" s="59">
        <f t="shared" si="8"/>
        <v>0.92687063786101653</v>
      </c>
      <c r="AO16" s="59"/>
      <c r="AP16" s="60">
        <f t="shared" si="9"/>
        <v>-7.3129362138983467E-2</v>
      </c>
    </row>
    <row r="17" spans="1:42" s="54" customFormat="1" ht="24.95" customHeight="1" x14ac:dyDescent="0.2">
      <c r="A17" s="54" t="s">
        <v>260</v>
      </c>
      <c r="B17" s="142">
        <f>CNT!S21</f>
        <v>1695526.26</v>
      </c>
      <c r="C17" s="56"/>
      <c r="D17" s="142">
        <v>0</v>
      </c>
      <c r="E17" s="56"/>
      <c r="F17" s="142">
        <v>0</v>
      </c>
      <c r="G17" s="56"/>
      <c r="H17" s="142">
        <v>0</v>
      </c>
      <c r="I17" s="51"/>
      <c r="J17" s="142">
        <v>0</v>
      </c>
      <c r="K17" s="51"/>
      <c r="L17" s="142">
        <v>0</v>
      </c>
      <c r="M17" s="51"/>
      <c r="N17" s="142">
        <v>0</v>
      </c>
      <c r="O17" s="51"/>
      <c r="P17" s="56">
        <f t="shared" si="3"/>
        <v>1695526.26</v>
      </c>
      <c r="Q17" s="54" t="s">
        <v>260</v>
      </c>
      <c r="R17" s="56">
        <f>'CNT 10.31.17'!S20</f>
        <v>2118206.7799999998</v>
      </c>
      <c r="S17" s="56"/>
      <c r="T17" s="56">
        <f>'BPM 10.31.17'!S13</f>
        <v>980</v>
      </c>
      <c r="U17" s="56"/>
      <c r="V17" s="56">
        <v>0</v>
      </c>
      <c r="W17" s="56"/>
      <c r="X17" s="56">
        <v>0</v>
      </c>
      <c r="Y17" s="51"/>
      <c r="Z17" s="56">
        <v>0</v>
      </c>
      <c r="AA17" s="51"/>
      <c r="AB17" s="56">
        <v>0</v>
      </c>
      <c r="AC17" s="51"/>
      <c r="AD17" s="56">
        <v>0</v>
      </c>
      <c r="AE17" s="51"/>
      <c r="AF17" s="56">
        <f t="shared" si="4"/>
        <v>2119186.7799999998</v>
      </c>
      <c r="AG17" s="54" t="s">
        <v>260</v>
      </c>
      <c r="AH17" s="58">
        <f t="shared" si="0"/>
        <v>1695526.26</v>
      </c>
      <c r="AI17" s="58"/>
      <c r="AJ17" s="58">
        <f t="shared" si="5"/>
        <v>2119186.7799999998</v>
      </c>
      <c r="AK17" s="58"/>
      <c r="AL17" s="58">
        <f t="shared" si="7"/>
        <v>-423660.51999999979</v>
      </c>
      <c r="AM17" s="58"/>
      <c r="AN17" s="59">
        <f t="shared" si="8"/>
        <v>0.80008344521666008</v>
      </c>
      <c r="AO17" s="59"/>
      <c r="AP17" s="60">
        <f t="shared" si="9"/>
        <v>-0.19991655478333992</v>
      </c>
    </row>
    <row r="18" spans="1:42" s="54" customFormat="1" ht="24.95" customHeight="1" x14ac:dyDescent="0.2">
      <c r="A18" s="54" t="s">
        <v>261</v>
      </c>
      <c r="B18" s="142">
        <f>CNT!S22</f>
        <v>-17.2</v>
      </c>
      <c r="C18" s="56"/>
      <c r="D18" s="142">
        <v>0</v>
      </c>
      <c r="E18" s="56"/>
      <c r="F18" s="142">
        <v>0</v>
      </c>
      <c r="G18" s="56"/>
      <c r="H18" s="142">
        <v>0</v>
      </c>
      <c r="I18" s="51"/>
      <c r="J18" s="142">
        <v>0</v>
      </c>
      <c r="K18" s="51"/>
      <c r="L18" s="142">
        <v>0</v>
      </c>
      <c r="M18" s="51"/>
      <c r="N18" s="142">
        <v>0</v>
      </c>
      <c r="O18" s="51"/>
      <c r="P18" s="56">
        <f t="shared" si="3"/>
        <v>-17.2</v>
      </c>
      <c r="Q18" s="54" t="s">
        <v>261</v>
      </c>
      <c r="R18" s="56">
        <f>'CNT 10.31.17'!S21</f>
        <v>2686.77</v>
      </c>
      <c r="S18" s="56"/>
      <c r="T18" s="56">
        <v>0</v>
      </c>
      <c r="U18" s="56"/>
      <c r="V18" s="56">
        <v>0</v>
      </c>
      <c r="W18" s="56"/>
      <c r="X18" s="56">
        <v>0</v>
      </c>
      <c r="Y18" s="51"/>
      <c r="Z18" s="56">
        <v>0</v>
      </c>
      <c r="AA18" s="51"/>
      <c r="AB18" s="56">
        <v>0</v>
      </c>
      <c r="AC18" s="51"/>
      <c r="AD18" s="56">
        <v>0</v>
      </c>
      <c r="AE18" s="51"/>
      <c r="AF18" s="56">
        <f t="shared" si="4"/>
        <v>2686.77</v>
      </c>
      <c r="AG18" s="54" t="s">
        <v>261</v>
      </c>
      <c r="AH18" s="58">
        <f t="shared" si="0"/>
        <v>-17.2</v>
      </c>
      <c r="AI18" s="58"/>
      <c r="AJ18" s="58">
        <f t="shared" si="5"/>
        <v>2686.77</v>
      </c>
      <c r="AK18" s="58"/>
      <c r="AL18" s="58">
        <f t="shared" si="7"/>
        <v>-2703.97</v>
      </c>
      <c r="AM18" s="58"/>
      <c r="AN18" s="59">
        <f t="shared" si="8"/>
        <v>-6.4017388909359567E-3</v>
      </c>
      <c r="AO18" s="59"/>
      <c r="AP18" s="60">
        <f t="shared" si="9"/>
        <v>-1.0064017388909359</v>
      </c>
    </row>
    <row r="19" spans="1:42" s="54" customFormat="1" ht="24.95" customHeight="1" x14ac:dyDescent="0.2">
      <c r="A19" s="54" t="s">
        <v>262</v>
      </c>
      <c r="B19" s="142">
        <f>CNT!S23</f>
        <v>1456098.27</v>
      </c>
      <c r="C19" s="56"/>
      <c r="D19" s="142">
        <v>0</v>
      </c>
      <c r="E19" s="56"/>
      <c r="F19" s="142">
        <v>0</v>
      </c>
      <c r="G19" s="56"/>
      <c r="H19" s="142">
        <v>0</v>
      </c>
      <c r="I19" s="51"/>
      <c r="J19" s="142">
        <v>0</v>
      </c>
      <c r="K19" s="51"/>
      <c r="L19" s="142">
        <v>0</v>
      </c>
      <c r="M19" s="51"/>
      <c r="N19" s="142">
        <v>0</v>
      </c>
      <c r="O19" s="51"/>
      <c r="P19" s="56">
        <f t="shared" si="3"/>
        <v>1456098.27</v>
      </c>
      <c r="Q19" s="54" t="s">
        <v>262</v>
      </c>
      <c r="R19" s="56">
        <f>'CNT 10.31.17'!S22</f>
        <v>1661611.65</v>
      </c>
      <c r="S19" s="56"/>
      <c r="T19" s="56">
        <v>0</v>
      </c>
      <c r="U19" s="56"/>
      <c r="V19" s="56">
        <v>0</v>
      </c>
      <c r="W19" s="56"/>
      <c r="X19" s="56">
        <v>0</v>
      </c>
      <c r="Y19" s="51"/>
      <c r="Z19" s="56">
        <v>0</v>
      </c>
      <c r="AA19" s="51"/>
      <c r="AB19" s="56">
        <v>0</v>
      </c>
      <c r="AC19" s="51"/>
      <c r="AD19" s="56">
        <v>0</v>
      </c>
      <c r="AE19" s="51"/>
      <c r="AF19" s="56">
        <f t="shared" si="4"/>
        <v>1661611.65</v>
      </c>
      <c r="AG19" s="54" t="s">
        <v>262</v>
      </c>
      <c r="AH19" s="58">
        <f t="shared" si="0"/>
        <v>1456098.27</v>
      </c>
      <c r="AI19" s="58"/>
      <c r="AJ19" s="58">
        <f t="shared" si="5"/>
        <v>1661611.65</v>
      </c>
      <c r="AK19" s="58"/>
      <c r="AL19" s="58">
        <f t="shared" si="7"/>
        <v>-205513.37999999989</v>
      </c>
      <c r="AM19" s="58"/>
      <c r="AN19" s="59">
        <f t="shared" si="8"/>
        <v>0.87631683973809404</v>
      </c>
      <c r="AO19" s="59"/>
      <c r="AP19" s="60">
        <f t="shared" si="9"/>
        <v>-0.12368316026190596</v>
      </c>
    </row>
    <row r="20" spans="1:42" s="54" customFormat="1" ht="24.95" customHeight="1" x14ac:dyDescent="0.2">
      <c r="A20" s="54" t="s">
        <v>263</v>
      </c>
      <c r="B20" s="142">
        <f>CNT!S24</f>
        <v>89.11</v>
      </c>
      <c r="C20" s="56"/>
      <c r="D20" s="142">
        <v>0</v>
      </c>
      <c r="E20" s="56"/>
      <c r="F20" s="142">
        <v>0</v>
      </c>
      <c r="G20" s="56"/>
      <c r="H20" s="142">
        <v>0</v>
      </c>
      <c r="I20" s="51"/>
      <c r="J20" s="142">
        <v>0</v>
      </c>
      <c r="K20" s="51"/>
      <c r="L20" s="142">
        <v>0</v>
      </c>
      <c r="M20" s="51"/>
      <c r="N20" s="142">
        <v>0</v>
      </c>
      <c r="O20" s="51"/>
      <c r="P20" s="56">
        <f t="shared" si="3"/>
        <v>89.11</v>
      </c>
      <c r="Q20" s="54" t="s">
        <v>263</v>
      </c>
      <c r="R20" s="56">
        <f>'CNT 10.31.17'!S23</f>
        <v>12163.43</v>
      </c>
      <c r="S20" s="56"/>
      <c r="T20" s="56">
        <f>'BPM 10.31.17'!S16</f>
        <v>0</v>
      </c>
      <c r="U20" s="56"/>
      <c r="V20" s="56">
        <v>0</v>
      </c>
      <c r="W20" s="56"/>
      <c r="X20" s="56">
        <v>0</v>
      </c>
      <c r="Y20" s="51"/>
      <c r="Z20" s="56">
        <v>0</v>
      </c>
      <c r="AA20" s="51"/>
      <c r="AB20" s="56">
        <v>0</v>
      </c>
      <c r="AC20" s="51"/>
      <c r="AD20" s="56">
        <v>0</v>
      </c>
      <c r="AE20" s="51"/>
      <c r="AF20" s="56">
        <f t="shared" si="4"/>
        <v>12163.43</v>
      </c>
      <c r="AG20" s="54" t="s">
        <v>263</v>
      </c>
      <c r="AH20" s="58">
        <f t="shared" si="0"/>
        <v>89.11</v>
      </c>
      <c r="AI20" s="58"/>
      <c r="AJ20" s="58">
        <f t="shared" si="5"/>
        <v>12163.43</v>
      </c>
      <c r="AK20" s="58"/>
      <c r="AL20" s="58">
        <f t="shared" si="7"/>
        <v>-12074.32</v>
      </c>
      <c r="AM20" s="58"/>
      <c r="AN20" s="59">
        <f t="shared" si="8"/>
        <v>7.3260585213216992E-3</v>
      </c>
      <c r="AO20" s="59"/>
      <c r="AP20" s="60">
        <f t="shared" si="9"/>
        <v>-0.99267394147867827</v>
      </c>
    </row>
    <row r="21" spans="1:42" s="54" customFormat="1" ht="24.95" customHeight="1" x14ac:dyDescent="0.2">
      <c r="A21" s="54" t="s">
        <v>566</v>
      </c>
      <c r="B21" s="142">
        <f>CNT!S25</f>
        <v>-14881061.810000001</v>
      </c>
      <c r="C21" s="56"/>
      <c r="D21" s="142">
        <v>0</v>
      </c>
      <c r="E21" s="56"/>
      <c r="F21" s="142">
        <v>0</v>
      </c>
      <c r="G21" s="56"/>
      <c r="H21" s="142">
        <v>0</v>
      </c>
      <c r="I21" s="51"/>
      <c r="J21" s="142">
        <v>0</v>
      </c>
      <c r="K21" s="51"/>
      <c r="L21" s="142">
        <v>0</v>
      </c>
      <c r="M21" s="51"/>
      <c r="N21" s="142">
        <v>0</v>
      </c>
      <c r="O21" s="51"/>
      <c r="P21" s="56">
        <f t="shared" si="3"/>
        <v>-14881061.810000001</v>
      </c>
      <c r="Q21" s="54" t="s">
        <v>566</v>
      </c>
      <c r="R21" s="56">
        <f>'CNT 10.31.17'!S24</f>
        <v>-19230214.920000002</v>
      </c>
      <c r="S21" s="56"/>
      <c r="T21" s="56">
        <v>0</v>
      </c>
      <c r="U21" s="56"/>
      <c r="V21" s="56">
        <v>0</v>
      </c>
      <c r="W21" s="56"/>
      <c r="X21" s="56">
        <v>0</v>
      </c>
      <c r="Y21" s="51"/>
      <c r="Z21" s="56">
        <v>0</v>
      </c>
      <c r="AA21" s="51"/>
      <c r="AB21" s="56">
        <v>0</v>
      </c>
      <c r="AC21" s="51"/>
      <c r="AD21" s="56">
        <v>0</v>
      </c>
      <c r="AE21" s="51"/>
      <c r="AF21" s="56">
        <f t="shared" si="4"/>
        <v>-19230214.920000002</v>
      </c>
      <c r="AG21" s="54" t="s">
        <v>566</v>
      </c>
      <c r="AH21" s="58">
        <f t="shared" si="0"/>
        <v>-14881061.810000001</v>
      </c>
      <c r="AI21" s="58"/>
      <c r="AJ21" s="58">
        <f t="shared" si="5"/>
        <v>-19230214.920000002</v>
      </c>
      <c r="AK21" s="58"/>
      <c r="AL21" s="58">
        <f t="shared" si="7"/>
        <v>4349153.1100000013</v>
      </c>
      <c r="AM21" s="58"/>
      <c r="AN21" s="59">
        <f t="shared" si="8"/>
        <v>0.77383751933647127</v>
      </c>
      <c r="AO21" s="59"/>
      <c r="AP21" s="60">
        <f t="shared" si="9"/>
        <v>-0.22616248066352873</v>
      </c>
    </row>
    <row r="22" spans="1:42" s="54" customFormat="1" ht="24.95" customHeight="1" x14ac:dyDescent="0.2">
      <c r="A22" s="54" t="s">
        <v>567</v>
      </c>
      <c r="B22" s="142">
        <f>CNT!S17</f>
        <v>6960.4</v>
      </c>
      <c r="C22" s="56"/>
      <c r="D22" s="142">
        <v>0</v>
      </c>
      <c r="E22" s="56"/>
      <c r="F22" s="142">
        <v>0</v>
      </c>
      <c r="G22" s="56"/>
      <c r="H22" s="142">
        <v>0</v>
      </c>
      <c r="I22" s="56"/>
      <c r="J22" s="142">
        <v>0</v>
      </c>
      <c r="K22" s="56"/>
      <c r="L22" s="142">
        <v>0</v>
      </c>
      <c r="M22" s="56"/>
      <c r="N22" s="142">
        <v>0</v>
      </c>
      <c r="O22" s="56"/>
      <c r="P22" s="56">
        <f t="shared" si="3"/>
        <v>6960.4</v>
      </c>
      <c r="Q22" s="54" t="s">
        <v>567</v>
      </c>
      <c r="R22" s="56">
        <v>0</v>
      </c>
      <c r="S22" s="56"/>
      <c r="T22" s="56">
        <f>SUM('BPM 10.31.17'!S14:S15)</f>
        <v>90</v>
      </c>
      <c r="U22" s="56"/>
      <c r="V22" s="56">
        <v>0</v>
      </c>
      <c r="W22" s="56"/>
      <c r="X22" s="56">
        <v>0</v>
      </c>
      <c r="Y22" s="56"/>
      <c r="Z22" s="56">
        <v>0</v>
      </c>
      <c r="AA22" s="56"/>
      <c r="AB22" s="56">
        <v>0</v>
      </c>
      <c r="AC22" s="56"/>
      <c r="AD22" s="56">
        <v>0</v>
      </c>
      <c r="AE22" s="56"/>
      <c r="AF22" s="56">
        <f t="shared" si="4"/>
        <v>90</v>
      </c>
      <c r="AG22" s="54" t="s">
        <v>567</v>
      </c>
      <c r="AH22" s="58">
        <f t="shared" si="0"/>
        <v>6960.4</v>
      </c>
      <c r="AI22" s="58"/>
      <c r="AJ22" s="58">
        <f t="shared" si="5"/>
        <v>90</v>
      </c>
      <c r="AK22" s="58"/>
      <c r="AL22" s="58">
        <f t="shared" si="7"/>
        <v>6870.4</v>
      </c>
      <c r="AM22" s="58"/>
      <c r="AN22" s="59">
        <f t="shared" si="8"/>
        <v>77.337777777777774</v>
      </c>
      <c r="AO22" s="59"/>
      <c r="AP22" s="60">
        <f t="shared" si="9"/>
        <v>76.337777777777774</v>
      </c>
    </row>
    <row r="23" spans="1:42" s="54" customFormat="1" ht="24.95" customHeight="1" x14ac:dyDescent="0.2">
      <c r="A23" s="54" t="s">
        <v>264</v>
      </c>
      <c r="B23" s="142">
        <f>CNT!S26</f>
        <v>-133775601.08</v>
      </c>
      <c r="C23" s="56"/>
      <c r="D23" s="142">
        <v>0</v>
      </c>
      <c r="E23" s="56"/>
      <c r="F23" s="142">
        <v>0</v>
      </c>
      <c r="G23" s="56"/>
      <c r="H23" s="142">
        <v>0</v>
      </c>
      <c r="I23" s="51"/>
      <c r="J23" s="142">
        <v>0</v>
      </c>
      <c r="K23" s="51"/>
      <c r="L23" s="142">
        <v>0</v>
      </c>
      <c r="M23" s="51"/>
      <c r="N23" s="142">
        <v>0</v>
      </c>
      <c r="O23" s="51"/>
      <c r="P23" s="56">
        <f t="shared" si="3"/>
        <v>-133775601.08</v>
      </c>
      <c r="Q23" s="51" t="s">
        <v>264</v>
      </c>
      <c r="R23" s="56">
        <f>'CNT 10.31.17'!S25</f>
        <v>-146039550.5</v>
      </c>
      <c r="S23" s="56"/>
      <c r="T23" s="56">
        <v>0</v>
      </c>
      <c r="U23" s="56"/>
      <c r="V23" s="56">
        <v>0</v>
      </c>
      <c r="W23" s="56"/>
      <c r="X23" s="56">
        <v>0</v>
      </c>
      <c r="Y23" s="51"/>
      <c r="Z23" s="56">
        <v>0</v>
      </c>
      <c r="AA23" s="51"/>
      <c r="AB23" s="56">
        <v>0</v>
      </c>
      <c r="AC23" s="51"/>
      <c r="AD23" s="56">
        <v>0</v>
      </c>
      <c r="AE23" s="51"/>
      <c r="AF23" s="56">
        <f t="shared" si="4"/>
        <v>-146039550.5</v>
      </c>
      <c r="AG23" s="54" t="s">
        <v>264</v>
      </c>
      <c r="AH23" s="58">
        <f t="shared" si="0"/>
        <v>-133775601.08</v>
      </c>
      <c r="AI23" s="58"/>
      <c r="AJ23" s="58">
        <f t="shared" si="5"/>
        <v>-146039550.5</v>
      </c>
      <c r="AK23" s="58"/>
      <c r="AL23" s="58">
        <f t="shared" si="7"/>
        <v>12263949.420000002</v>
      </c>
      <c r="AM23" s="58"/>
      <c r="AN23" s="59">
        <f t="shared" si="8"/>
        <v>0.91602309526418324</v>
      </c>
      <c r="AO23" s="59"/>
      <c r="AP23" s="60">
        <f t="shared" si="9"/>
        <v>-8.397690473581676E-2</v>
      </c>
    </row>
    <row r="24" spans="1:42" s="54" customFormat="1" ht="24.95" customHeight="1" x14ac:dyDescent="0.2">
      <c r="A24" s="54" t="s">
        <v>265</v>
      </c>
      <c r="B24" s="143">
        <f>CNT!S27</f>
        <v>-19521795.489999998</v>
      </c>
      <c r="C24" s="61"/>
      <c r="D24" s="143">
        <v>0</v>
      </c>
      <c r="E24" s="61"/>
      <c r="F24" s="143">
        <v>0</v>
      </c>
      <c r="G24" s="61"/>
      <c r="H24" s="143">
        <v>0</v>
      </c>
      <c r="I24" s="62"/>
      <c r="J24" s="143">
        <v>0</v>
      </c>
      <c r="K24" s="62"/>
      <c r="L24" s="143">
        <v>0</v>
      </c>
      <c r="M24" s="62"/>
      <c r="N24" s="143">
        <v>0</v>
      </c>
      <c r="O24" s="62"/>
      <c r="P24" s="56">
        <f t="shared" si="3"/>
        <v>-19521795.489999998</v>
      </c>
      <c r="Q24" s="51" t="s">
        <v>265</v>
      </c>
      <c r="R24" s="61">
        <f>'CNT 10.31.17'!S26</f>
        <v>-15809754.970000001</v>
      </c>
      <c r="S24" s="61"/>
      <c r="T24" s="61">
        <v>0</v>
      </c>
      <c r="U24" s="61"/>
      <c r="V24" s="61">
        <v>0</v>
      </c>
      <c r="W24" s="61"/>
      <c r="X24" s="61">
        <v>0</v>
      </c>
      <c r="Y24" s="62"/>
      <c r="Z24" s="61">
        <v>0</v>
      </c>
      <c r="AA24" s="62"/>
      <c r="AB24" s="61">
        <v>0</v>
      </c>
      <c r="AC24" s="62"/>
      <c r="AD24" s="61">
        <v>0</v>
      </c>
      <c r="AE24" s="62"/>
      <c r="AF24" s="56">
        <f t="shared" si="4"/>
        <v>-15809754.970000001</v>
      </c>
      <c r="AG24" s="54" t="s">
        <v>265</v>
      </c>
      <c r="AH24" s="58">
        <f t="shared" si="0"/>
        <v>-19521795.489999998</v>
      </c>
      <c r="AI24" s="63"/>
      <c r="AJ24" s="58">
        <f t="shared" si="5"/>
        <v>-15809754.970000001</v>
      </c>
      <c r="AK24" s="58"/>
      <c r="AL24" s="58">
        <f t="shared" si="7"/>
        <v>-3712040.5199999977</v>
      </c>
      <c r="AM24" s="58"/>
      <c r="AN24" s="59">
        <f t="shared" si="8"/>
        <v>1.2347943106672954</v>
      </c>
      <c r="AO24" s="59"/>
      <c r="AP24" s="60">
        <f t="shared" si="9"/>
        <v>0.23479431066729539</v>
      </c>
    </row>
    <row r="25" spans="1:42" s="54" customFormat="1" ht="24.95" customHeight="1" x14ac:dyDescent="0.2">
      <c r="A25" s="54" t="s">
        <v>266</v>
      </c>
      <c r="B25" s="143">
        <f>CNT!S28</f>
        <v>-64570.7</v>
      </c>
      <c r="C25" s="61"/>
      <c r="D25" s="143">
        <v>0</v>
      </c>
      <c r="E25" s="61"/>
      <c r="F25" s="143">
        <v>0</v>
      </c>
      <c r="G25" s="61"/>
      <c r="H25" s="143">
        <v>0</v>
      </c>
      <c r="I25" s="62"/>
      <c r="J25" s="143">
        <v>0</v>
      </c>
      <c r="K25" s="62"/>
      <c r="L25" s="143">
        <v>0</v>
      </c>
      <c r="M25" s="62"/>
      <c r="N25" s="143">
        <v>0</v>
      </c>
      <c r="O25" s="62"/>
      <c r="P25" s="56">
        <f t="shared" si="3"/>
        <v>-64570.7</v>
      </c>
      <c r="Q25" s="51" t="s">
        <v>266</v>
      </c>
      <c r="R25" s="61">
        <v>0</v>
      </c>
      <c r="S25" s="61"/>
      <c r="T25" s="61">
        <v>0</v>
      </c>
      <c r="U25" s="61"/>
      <c r="V25" s="61">
        <v>0</v>
      </c>
      <c r="W25" s="61"/>
      <c r="X25" s="61">
        <v>0</v>
      </c>
      <c r="Y25" s="62"/>
      <c r="Z25" s="61">
        <v>0</v>
      </c>
      <c r="AA25" s="62"/>
      <c r="AB25" s="61">
        <v>0</v>
      </c>
      <c r="AC25" s="62"/>
      <c r="AD25" s="61">
        <v>0</v>
      </c>
      <c r="AE25" s="62"/>
      <c r="AF25" s="56">
        <f t="shared" si="4"/>
        <v>0</v>
      </c>
      <c r="AG25" s="54" t="s">
        <v>266</v>
      </c>
      <c r="AH25" s="58">
        <f t="shared" si="0"/>
        <v>-64570.7</v>
      </c>
      <c r="AI25" s="63"/>
      <c r="AJ25" s="58">
        <f t="shared" si="5"/>
        <v>0</v>
      </c>
      <c r="AK25" s="58"/>
      <c r="AL25" s="58">
        <f t="shared" si="7"/>
        <v>-64570.7</v>
      </c>
      <c r="AM25" s="58"/>
      <c r="AN25" s="59">
        <v>0</v>
      </c>
      <c r="AO25" s="59"/>
      <c r="AP25" s="60">
        <f>AN25-1</f>
        <v>-1</v>
      </c>
    </row>
    <row r="26" spans="1:42" s="54" customFormat="1" ht="24.95" customHeight="1" x14ac:dyDescent="0.2">
      <c r="A26" s="54" t="s">
        <v>267</v>
      </c>
      <c r="B26" s="143">
        <f>CNT!S47</f>
        <v>147993.66</v>
      </c>
      <c r="C26" s="61"/>
      <c r="D26" s="143">
        <v>0</v>
      </c>
      <c r="E26" s="61"/>
      <c r="F26" s="143">
        <v>0</v>
      </c>
      <c r="G26" s="61"/>
      <c r="H26" s="143">
        <v>0</v>
      </c>
      <c r="I26" s="62"/>
      <c r="J26" s="143">
        <v>0</v>
      </c>
      <c r="K26" s="62"/>
      <c r="L26" s="143">
        <v>0</v>
      </c>
      <c r="M26" s="62"/>
      <c r="N26" s="143">
        <v>0</v>
      </c>
      <c r="O26" s="62"/>
      <c r="P26" s="56">
        <f t="shared" si="3"/>
        <v>147993.66</v>
      </c>
      <c r="Q26" s="51" t="s">
        <v>267</v>
      </c>
      <c r="R26" s="61">
        <v>0</v>
      </c>
      <c r="S26" s="61"/>
      <c r="T26" s="61">
        <v>0</v>
      </c>
      <c r="U26" s="61"/>
      <c r="V26" s="61">
        <v>0</v>
      </c>
      <c r="W26" s="61"/>
      <c r="X26" s="61">
        <v>0</v>
      </c>
      <c r="Y26" s="62"/>
      <c r="Z26" s="61">
        <v>0</v>
      </c>
      <c r="AA26" s="62"/>
      <c r="AB26" s="61">
        <v>0</v>
      </c>
      <c r="AC26" s="62"/>
      <c r="AD26" s="61">
        <v>0</v>
      </c>
      <c r="AE26" s="62"/>
      <c r="AF26" s="56">
        <f t="shared" si="4"/>
        <v>0</v>
      </c>
      <c r="AG26" s="54" t="s">
        <v>267</v>
      </c>
      <c r="AH26" s="58">
        <f t="shared" si="0"/>
        <v>147993.66</v>
      </c>
      <c r="AI26" s="63"/>
      <c r="AJ26" s="58">
        <f t="shared" si="5"/>
        <v>0</v>
      </c>
      <c r="AK26" s="58"/>
      <c r="AL26" s="58">
        <f t="shared" si="7"/>
        <v>147993.66</v>
      </c>
      <c r="AM26" s="58"/>
      <c r="AN26" s="59">
        <v>0</v>
      </c>
      <c r="AO26" s="59"/>
      <c r="AP26" s="60">
        <f t="shared" si="9"/>
        <v>-1</v>
      </c>
    </row>
    <row r="27" spans="1:42" s="54" customFormat="1" ht="24.95" customHeight="1" x14ac:dyDescent="0.2">
      <c r="A27" s="54" t="s">
        <v>268</v>
      </c>
      <c r="B27" s="143">
        <f>CNT!S48+CNT!S49+CNT!S50</f>
        <v>50475.79</v>
      </c>
      <c r="C27" s="61"/>
      <c r="D27" s="143">
        <v>0</v>
      </c>
      <c r="E27" s="61"/>
      <c r="F27" s="143">
        <v>0</v>
      </c>
      <c r="G27" s="61"/>
      <c r="H27" s="143">
        <v>0</v>
      </c>
      <c r="I27" s="62"/>
      <c r="J27" s="143">
        <v>0</v>
      </c>
      <c r="K27" s="62"/>
      <c r="L27" s="143">
        <v>0</v>
      </c>
      <c r="M27" s="62"/>
      <c r="N27" s="143">
        <v>0</v>
      </c>
      <c r="O27" s="62"/>
      <c r="P27" s="61">
        <f t="shared" si="3"/>
        <v>50475.79</v>
      </c>
      <c r="Q27" s="51" t="s">
        <v>268</v>
      </c>
      <c r="R27" s="61">
        <v>0</v>
      </c>
      <c r="S27" s="61"/>
      <c r="T27" s="61">
        <v>0</v>
      </c>
      <c r="U27" s="61"/>
      <c r="V27" s="61">
        <v>0</v>
      </c>
      <c r="W27" s="61"/>
      <c r="X27" s="61">
        <v>0</v>
      </c>
      <c r="Y27" s="62"/>
      <c r="Z27" s="61">
        <v>0</v>
      </c>
      <c r="AA27" s="62"/>
      <c r="AB27" s="61">
        <v>0</v>
      </c>
      <c r="AC27" s="62"/>
      <c r="AD27" s="61">
        <v>0</v>
      </c>
      <c r="AE27" s="62"/>
      <c r="AF27" s="61">
        <f>SUM(R27:AD27)</f>
        <v>0</v>
      </c>
      <c r="AG27" s="54" t="s">
        <v>268</v>
      </c>
      <c r="AH27" s="63">
        <f t="shared" si="0"/>
        <v>50475.79</v>
      </c>
      <c r="AI27" s="63"/>
      <c r="AJ27" s="63">
        <f t="shared" si="5"/>
        <v>0</v>
      </c>
      <c r="AK27" s="63"/>
      <c r="AL27" s="63">
        <f t="shared" si="7"/>
        <v>50475.79</v>
      </c>
      <c r="AM27" s="63"/>
      <c r="AN27" s="59">
        <v>0</v>
      </c>
      <c r="AO27" s="59"/>
      <c r="AP27" s="60">
        <f t="shared" si="9"/>
        <v>-1</v>
      </c>
    </row>
    <row r="28" spans="1:42" s="54" customFormat="1" ht="24.95" customHeight="1" x14ac:dyDescent="0.2">
      <c r="A28" s="54" t="s">
        <v>564</v>
      </c>
      <c r="B28" s="144">
        <v>0</v>
      </c>
      <c r="C28" s="66"/>
      <c r="D28" s="144">
        <v>0</v>
      </c>
      <c r="E28" s="66"/>
      <c r="F28" s="144">
        <v>0</v>
      </c>
      <c r="G28" s="66"/>
      <c r="H28" s="144">
        <v>0</v>
      </c>
      <c r="I28" s="67"/>
      <c r="J28" s="144">
        <v>0</v>
      </c>
      <c r="K28" s="67"/>
      <c r="L28" s="144">
        <v>0</v>
      </c>
      <c r="M28" s="67"/>
      <c r="N28" s="144">
        <v>0</v>
      </c>
      <c r="O28" s="67"/>
      <c r="P28" s="66">
        <f t="shared" si="3"/>
        <v>0</v>
      </c>
      <c r="Q28" s="54" t="s">
        <v>564</v>
      </c>
      <c r="R28" s="66">
        <v>0</v>
      </c>
      <c r="S28" s="66"/>
      <c r="T28" s="66">
        <v>0</v>
      </c>
      <c r="U28" s="66"/>
      <c r="V28" s="66">
        <v>0</v>
      </c>
      <c r="W28" s="66"/>
      <c r="X28" s="66">
        <v>0</v>
      </c>
      <c r="Y28" s="67"/>
      <c r="Z28" s="66">
        <v>0</v>
      </c>
      <c r="AA28" s="67"/>
      <c r="AB28" s="66">
        <v>0</v>
      </c>
      <c r="AC28" s="67"/>
      <c r="AD28" s="66">
        <v>0</v>
      </c>
      <c r="AE28" s="67"/>
      <c r="AF28" s="66">
        <f>SUM(R28:AD28)</f>
        <v>0</v>
      </c>
      <c r="AG28" s="54" t="s">
        <v>564</v>
      </c>
      <c r="AH28" s="68">
        <f t="shared" si="0"/>
        <v>0</v>
      </c>
      <c r="AI28" s="68"/>
      <c r="AJ28" s="68">
        <f t="shared" si="5"/>
        <v>0</v>
      </c>
      <c r="AK28" s="68"/>
      <c r="AL28" s="68">
        <f t="shared" si="7"/>
        <v>0</v>
      </c>
      <c r="AM28" s="63"/>
      <c r="AN28" s="59">
        <v>0</v>
      </c>
      <c r="AO28" s="59"/>
      <c r="AP28" s="60">
        <f t="shared" si="9"/>
        <v>-1</v>
      </c>
    </row>
    <row r="29" spans="1:42" s="54" customFormat="1" ht="24.95" customHeight="1" x14ac:dyDescent="0.2">
      <c r="A29" s="69" t="s">
        <v>269</v>
      </c>
      <c r="B29" s="142">
        <f>SUM(B14:B28)</f>
        <v>2966111.4700000547</v>
      </c>
      <c r="C29" s="56"/>
      <c r="D29" s="142">
        <f>SUM(D14:D27)</f>
        <v>596002.46</v>
      </c>
      <c r="E29" s="56"/>
      <c r="F29" s="142">
        <f>SUM(F14:F27)</f>
        <v>0</v>
      </c>
      <c r="G29" s="56"/>
      <c r="H29" s="142">
        <f>SUM(H14:H27)</f>
        <v>0</v>
      </c>
      <c r="I29" s="56"/>
      <c r="J29" s="142">
        <f>SUM(J14:J27)</f>
        <v>0</v>
      </c>
      <c r="K29" s="56"/>
      <c r="L29" s="142">
        <f>SUM(L14:L27)</f>
        <v>0</v>
      </c>
      <c r="M29" s="56"/>
      <c r="N29" s="142">
        <f>SUM(N14:N27)</f>
        <v>0</v>
      </c>
      <c r="O29" s="56"/>
      <c r="P29" s="61">
        <f>SUM(P14:P28)</f>
        <v>3562113.930000063</v>
      </c>
      <c r="Q29" s="70" t="s">
        <v>269</v>
      </c>
      <c r="R29" s="56">
        <f>SUM(R14:R28)</f>
        <v>-7068987.7899999935</v>
      </c>
      <c r="S29" s="56"/>
      <c r="T29" s="56">
        <f>SUM(T14:T27)</f>
        <v>268325.29000000004</v>
      </c>
      <c r="U29" s="56"/>
      <c r="V29" s="56">
        <f>SUM(V14:V28)</f>
        <v>0</v>
      </c>
      <c r="W29" s="56"/>
      <c r="X29" s="56">
        <f>SUM(X14:X27)</f>
        <v>0</v>
      </c>
      <c r="Y29" s="56"/>
      <c r="Z29" s="56">
        <f>SUM(Z14:Z27)</f>
        <v>0</v>
      </c>
      <c r="AA29" s="56"/>
      <c r="AB29" s="56">
        <f>SUM(AB14:AB27)</f>
        <v>0</v>
      </c>
      <c r="AC29" s="56"/>
      <c r="AD29" s="56">
        <f>SUM(AD14:AD27)</f>
        <v>0</v>
      </c>
      <c r="AE29" s="56"/>
      <c r="AF29" s="61">
        <f>SUM(AF14:AF28)</f>
        <v>-6800662.4999999721</v>
      </c>
      <c r="AG29" s="69" t="s">
        <v>269</v>
      </c>
      <c r="AH29" s="58">
        <f>SUM(AH14:AH28)</f>
        <v>3562113.930000063</v>
      </c>
      <c r="AI29" s="58"/>
      <c r="AJ29" s="58">
        <f>SUM(AJ14:AJ27)</f>
        <v>-6800662.4999999721</v>
      </c>
      <c r="AK29" s="58"/>
      <c r="AL29" s="61">
        <f>SUM(AL14:AL28)</f>
        <v>10362776.43000002</v>
      </c>
      <c r="AM29" s="58"/>
      <c r="AN29" s="59">
        <f>AH29/AJ29</f>
        <v>-0.5237892528853002</v>
      </c>
      <c r="AO29" s="59"/>
      <c r="AP29" s="60">
        <f t="shared" si="9"/>
        <v>-1.5237892528853001</v>
      </c>
    </row>
    <row r="30" spans="1:42" s="54" customFormat="1" ht="24.95" customHeight="1" x14ac:dyDescent="0.2">
      <c r="B30" s="142"/>
      <c r="C30" s="56"/>
      <c r="D30" s="142"/>
      <c r="E30" s="56"/>
      <c r="F30" s="142"/>
      <c r="G30" s="56"/>
      <c r="H30" s="141"/>
      <c r="I30" s="51"/>
      <c r="J30" s="141"/>
      <c r="K30" s="51"/>
      <c r="L30" s="141"/>
      <c r="M30" s="51"/>
      <c r="N30" s="141"/>
      <c r="O30" s="51"/>
      <c r="P30" s="52"/>
      <c r="Q30" s="51"/>
      <c r="R30" s="56"/>
      <c r="S30" s="56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2"/>
      <c r="AN30" s="71"/>
      <c r="AO30" s="71"/>
      <c r="AP30" s="72"/>
    </row>
    <row r="31" spans="1:42" s="54" customFormat="1" ht="24.95" customHeight="1" x14ac:dyDescent="0.2">
      <c r="A31" s="54" t="s">
        <v>270</v>
      </c>
      <c r="B31" s="142">
        <f>CNT!S33</f>
        <v>18359.39</v>
      </c>
      <c r="C31" s="56"/>
      <c r="D31" s="142">
        <v>0</v>
      </c>
      <c r="E31" s="56"/>
      <c r="F31" s="142">
        <v>0</v>
      </c>
      <c r="G31" s="56"/>
      <c r="H31" s="142">
        <v>0</v>
      </c>
      <c r="I31" s="56"/>
      <c r="J31" s="142">
        <v>0</v>
      </c>
      <c r="K31" s="56"/>
      <c r="L31" s="142">
        <v>0</v>
      </c>
      <c r="M31" s="56"/>
      <c r="N31" s="142">
        <v>0</v>
      </c>
      <c r="O31" s="56"/>
      <c r="P31" s="56">
        <f>SUM(B31:N31)</f>
        <v>18359.39</v>
      </c>
      <c r="Q31" s="51" t="s">
        <v>270</v>
      </c>
      <c r="R31" s="56">
        <f>'CNT 10.31.17'!S30</f>
        <v>18470.169999999998</v>
      </c>
      <c r="S31" s="56"/>
      <c r="T31" s="56">
        <v>0</v>
      </c>
      <c r="U31" s="56"/>
      <c r="V31" s="56">
        <v>0</v>
      </c>
      <c r="W31" s="56"/>
      <c r="X31" s="56">
        <v>0</v>
      </c>
      <c r="Y31" s="56"/>
      <c r="Z31" s="56">
        <v>0</v>
      </c>
      <c r="AA31" s="56"/>
      <c r="AB31" s="56">
        <v>0</v>
      </c>
      <c r="AC31" s="56"/>
      <c r="AD31" s="56">
        <v>0</v>
      </c>
      <c r="AE31" s="56"/>
      <c r="AF31" s="56">
        <f>SUM(R31:AD31)</f>
        <v>18470.169999999998</v>
      </c>
      <c r="AG31" s="54" t="s">
        <v>270</v>
      </c>
      <c r="AH31" s="63">
        <f t="shared" ref="AH31:AH38" si="10">P31</f>
        <v>18359.39</v>
      </c>
      <c r="AI31" s="63"/>
      <c r="AJ31" s="58">
        <f>AF31</f>
        <v>18470.169999999998</v>
      </c>
      <c r="AK31" s="58"/>
      <c r="AL31" s="63">
        <f t="shared" ref="AL31:AL38" si="11">AH31-AJ31</f>
        <v>-110.77999999999884</v>
      </c>
      <c r="AM31" s="63"/>
      <c r="AN31" s="59">
        <v>0</v>
      </c>
      <c r="AO31" s="59"/>
      <c r="AP31" s="60">
        <v>0</v>
      </c>
    </row>
    <row r="32" spans="1:42" s="54" customFormat="1" ht="24.95" customHeight="1" x14ac:dyDescent="0.2">
      <c r="A32" s="54" t="s">
        <v>271</v>
      </c>
      <c r="B32" s="142">
        <f>CNT!S34</f>
        <v>47590.34</v>
      </c>
      <c r="C32" s="56"/>
      <c r="D32" s="142">
        <v>0</v>
      </c>
      <c r="E32" s="56"/>
      <c r="F32" s="142">
        <f>DEP!S13</f>
        <v>0</v>
      </c>
      <c r="G32" s="56"/>
      <c r="H32" s="142">
        <v>0</v>
      </c>
      <c r="I32" s="56"/>
      <c r="J32" s="142">
        <f>BSC!F38</f>
        <v>1546</v>
      </c>
      <c r="K32" s="56"/>
      <c r="L32" s="142">
        <v>0</v>
      </c>
      <c r="M32" s="56"/>
      <c r="N32" s="142">
        <v>0</v>
      </c>
      <c r="O32" s="56"/>
      <c r="P32" s="56">
        <f t="shared" ref="P32:P38" si="12">SUM(B32:N32)</f>
        <v>49136.34</v>
      </c>
      <c r="Q32" s="51" t="s">
        <v>271</v>
      </c>
      <c r="R32" s="56">
        <f>'CNT 10.31.17'!S31</f>
        <v>187887.86</v>
      </c>
      <c r="S32" s="56"/>
      <c r="T32" s="56">
        <v>0</v>
      </c>
      <c r="U32" s="56"/>
      <c r="V32" s="56">
        <f>'DEP 10.31.17'!S12</f>
        <v>108190.96</v>
      </c>
      <c r="W32" s="56"/>
      <c r="X32" s="56">
        <v>0</v>
      </c>
      <c r="Y32" s="56"/>
      <c r="Z32" s="56">
        <v>0</v>
      </c>
      <c r="AA32" s="56"/>
      <c r="AB32" s="56">
        <v>0</v>
      </c>
      <c r="AC32" s="56"/>
      <c r="AD32" s="56">
        <v>0</v>
      </c>
      <c r="AE32" s="56"/>
      <c r="AF32" s="56">
        <f t="shared" ref="AF32:AF38" si="13">SUM(R32:AD32)</f>
        <v>296078.82</v>
      </c>
      <c r="AG32" s="54" t="s">
        <v>271</v>
      </c>
      <c r="AH32" s="63">
        <f t="shared" si="10"/>
        <v>49136.34</v>
      </c>
      <c r="AI32" s="63"/>
      <c r="AJ32" s="58">
        <f t="shared" ref="AJ32:AJ38" si="14">AF32</f>
        <v>296078.82</v>
      </c>
      <c r="AK32" s="58"/>
      <c r="AL32" s="63">
        <f t="shared" si="11"/>
        <v>-246942.48</v>
      </c>
      <c r="AM32" s="63"/>
      <c r="AN32" s="59">
        <f t="shared" ref="AN32:AN39" si="15">AH32/AJ32</f>
        <v>0.16595695700219285</v>
      </c>
      <c r="AO32" s="59"/>
      <c r="AP32" s="60">
        <f t="shared" ref="AP32:AP39" si="16">AN32-1</f>
        <v>-0.83404304299780718</v>
      </c>
    </row>
    <row r="33" spans="1:43" s="54" customFormat="1" ht="24.95" customHeight="1" x14ac:dyDescent="0.2">
      <c r="A33" s="54" t="s">
        <v>272</v>
      </c>
      <c r="B33" s="142">
        <f>CNT!S35</f>
        <v>1509093.02</v>
      </c>
      <c r="C33" s="56"/>
      <c r="D33" s="142">
        <v>0</v>
      </c>
      <c r="E33" s="56"/>
      <c r="F33" s="142">
        <v>0</v>
      </c>
      <c r="G33" s="56"/>
      <c r="H33" s="142">
        <v>0</v>
      </c>
      <c r="I33" s="56"/>
      <c r="J33" s="142">
        <v>0</v>
      </c>
      <c r="K33" s="56"/>
      <c r="L33" s="142">
        <v>0</v>
      </c>
      <c r="M33" s="56"/>
      <c r="N33" s="142">
        <v>0</v>
      </c>
      <c r="O33" s="56"/>
      <c r="P33" s="56">
        <f t="shared" si="12"/>
        <v>1509093.02</v>
      </c>
      <c r="Q33" s="51" t="s">
        <v>272</v>
      </c>
      <c r="R33" s="56">
        <f>'CNT 10.31.17'!S32</f>
        <v>7619944.8600000003</v>
      </c>
      <c r="S33" s="56"/>
      <c r="T33" s="56">
        <v>0</v>
      </c>
      <c r="U33" s="56"/>
      <c r="V33" s="56">
        <v>0</v>
      </c>
      <c r="W33" s="56"/>
      <c r="X33" s="56">
        <v>0</v>
      </c>
      <c r="Y33" s="56"/>
      <c r="Z33" s="56">
        <v>0</v>
      </c>
      <c r="AA33" s="56"/>
      <c r="AB33" s="56">
        <v>0</v>
      </c>
      <c r="AC33" s="56"/>
      <c r="AD33" s="56">
        <v>0</v>
      </c>
      <c r="AE33" s="56"/>
      <c r="AF33" s="56">
        <f t="shared" si="13"/>
        <v>7619944.8600000003</v>
      </c>
      <c r="AG33" s="54" t="s">
        <v>272</v>
      </c>
      <c r="AH33" s="63">
        <f t="shared" si="10"/>
        <v>1509093.02</v>
      </c>
      <c r="AI33" s="63"/>
      <c r="AJ33" s="58">
        <f t="shared" si="14"/>
        <v>7619944.8600000003</v>
      </c>
      <c r="AK33" s="58"/>
      <c r="AL33" s="63">
        <f t="shared" si="11"/>
        <v>-6110851.8399999999</v>
      </c>
      <c r="AM33" s="63"/>
      <c r="AN33" s="59">
        <f t="shared" si="15"/>
        <v>0.19804513651034478</v>
      </c>
      <c r="AO33" s="59"/>
      <c r="AP33" s="60">
        <f t="shared" si="16"/>
        <v>-0.80195486348965517</v>
      </c>
    </row>
    <row r="34" spans="1:43" s="54" customFormat="1" ht="24.95" customHeight="1" x14ac:dyDescent="0.2">
      <c r="A34" s="54" t="s">
        <v>273</v>
      </c>
      <c r="B34" s="142">
        <f>CNT!S36</f>
        <v>143640.24</v>
      </c>
      <c r="C34" s="56"/>
      <c r="D34" s="142">
        <v>0</v>
      </c>
      <c r="E34" s="56"/>
      <c r="F34" s="142">
        <v>0</v>
      </c>
      <c r="G34" s="56"/>
      <c r="H34" s="142">
        <v>0</v>
      </c>
      <c r="I34" s="51"/>
      <c r="J34" s="142">
        <v>0</v>
      </c>
      <c r="K34" s="51"/>
      <c r="L34" s="142">
        <v>0</v>
      </c>
      <c r="M34" s="51"/>
      <c r="N34" s="142">
        <v>0</v>
      </c>
      <c r="O34" s="51"/>
      <c r="P34" s="56">
        <f t="shared" si="12"/>
        <v>143640.24</v>
      </c>
      <c r="Q34" s="51" t="s">
        <v>273</v>
      </c>
      <c r="R34" s="56">
        <f>'CNT 10.31.17'!S33</f>
        <v>122559.97</v>
      </c>
      <c r="S34" s="56"/>
      <c r="T34" s="56">
        <v>0</v>
      </c>
      <c r="U34" s="56"/>
      <c r="V34" s="56">
        <v>0</v>
      </c>
      <c r="W34" s="56"/>
      <c r="X34" s="56">
        <v>0</v>
      </c>
      <c r="Y34" s="56"/>
      <c r="Z34" s="56">
        <v>0</v>
      </c>
      <c r="AA34" s="56"/>
      <c r="AB34" s="56">
        <v>0</v>
      </c>
      <c r="AC34" s="56"/>
      <c r="AD34" s="56">
        <v>0</v>
      </c>
      <c r="AE34" s="56"/>
      <c r="AF34" s="56">
        <f t="shared" si="13"/>
        <v>122559.97</v>
      </c>
      <c r="AG34" s="54" t="s">
        <v>273</v>
      </c>
      <c r="AH34" s="63">
        <f t="shared" si="10"/>
        <v>143640.24</v>
      </c>
      <c r="AI34" s="63"/>
      <c r="AJ34" s="58">
        <f t="shared" si="14"/>
        <v>122559.97</v>
      </c>
      <c r="AK34" s="58"/>
      <c r="AL34" s="63">
        <f t="shared" si="11"/>
        <v>21080.26999999999</v>
      </c>
      <c r="AM34" s="63"/>
      <c r="AN34" s="59">
        <f t="shared" si="15"/>
        <v>1.1719996341382917</v>
      </c>
      <c r="AO34" s="59"/>
      <c r="AP34" s="60">
        <f t="shared" si="16"/>
        <v>0.17199963413829167</v>
      </c>
    </row>
    <row r="35" spans="1:43" s="54" customFormat="1" ht="24.95" customHeight="1" x14ac:dyDescent="0.2">
      <c r="A35" s="54" t="s">
        <v>274</v>
      </c>
      <c r="B35" s="142">
        <f>CNT!S37</f>
        <v>48300</v>
      </c>
      <c r="C35" s="56"/>
      <c r="D35" s="142">
        <f>BPM!S18</f>
        <v>7000</v>
      </c>
      <c r="E35" s="56"/>
      <c r="F35" s="142">
        <f>DEP!S12</f>
        <v>1102</v>
      </c>
      <c r="G35" s="56"/>
      <c r="H35" s="142">
        <f>Lending!F19</f>
        <v>1000</v>
      </c>
      <c r="I35" s="51"/>
      <c r="J35" s="142">
        <v>0</v>
      </c>
      <c r="K35" s="51"/>
      <c r="L35" s="142">
        <v>0</v>
      </c>
      <c r="M35" s="51"/>
      <c r="N35" s="142">
        <v>0</v>
      </c>
      <c r="O35" s="51"/>
      <c r="P35" s="56">
        <f t="shared" si="12"/>
        <v>57402</v>
      </c>
      <c r="Q35" s="51" t="s">
        <v>274</v>
      </c>
      <c r="R35" s="56">
        <f>'CNT 10.31.17'!S34</f>
        <v>53500</v>
      </c>
      <c r="S35" s="56"/>
      <c r="T35" s="56">
        <f>'BPM 10.31.17'!S17</f>
        <v>17150</v>
      </c>
      <c r="U35" s="56"/>
      <c r="V35" s="56">
        <f>'DEP 10.31.17'!S11</f>
        <v>7854</v>
      </c>
      <c r="W35" s="56"/>
      <c r="X35" s="56">
        <v>0</v>
      </c>
      <c r="Y35" s="56"/>
      <c r="Z35" s="56">
        <v>0</v>
      </c>
      <c r="AA35" s="56"/>
      <c r="AB35" s="56">
        <v>0</v>
      </c>
      <c r="AC35" s="56"/>
      <c r="AD35" s="56">
        <v>0</v>
      </c>
      <c r="AE35" s="56"/>
      <c r="AF35" s="56">
        <f>SUM(R35:AD35)</f>
        <v>78504</v>
      </c>
      <c r="AG35" s="54" t="s">
        <v>274</v>
      </c>
      <c r="AH35" s="63">
        <f t="shared" si="10"/>
        <v>57402</v>
      </c>
      <c r="AI35" s="63"/>
      <c r="AJ35" s="58">
        <f t="shared" si="14"/>
        <v>78504</v>
      </c>
      <c r="AK35" s="58"/>
      <c r="AL35" s="63">
        <f t="shared" si="11"/>
        <v>-21102</v>
      </c>
      <c r="AM35" s="63"/>
      <c r="AN35" s="59">
        <f t="shared" si="15"/>
        <v>0.7311984102720881</v>
      </c>
      <c r="AO35" s="59"/>
      <c r="AP35" s="60">
        <f t="shared" si="16"/>
        <v>-0.2688015897279119</v>
      </c>
    </row>
    <row r="36" spans="1:43" s="54" customFormat="1" ht="24.95" customHeight="1" x14ac:dyDescent="0.2">
      <c r="A36" s="54" t="s">
        <v>275</v>
      </c>
      <c r="B36" s="142">
        <v>0</v>
      </c>
      <c r="C36" s="56"/>
      <c r="D36" s="142">
        <v>0</v>
      </c>
      <c r="E36" s="56"/>
      <c r="F36" s="142">
        <v>0</v>
      </c>
      <c r="G36" s="56"/>
      <c r="H36" s="142">
        <v>0</v>
      </c>
      <c r="I36" s="51"/>
      <c r="J36" s="142">
        <f>BSC!F37</f>
        <v>0</v>
      </c>
      <c r="K36" s="51"/>
      <c r="L36" s="142">
        <v>0</v>
      </c>
      <c r="M36" s="51"/>
      <c r="N36" s="142">
        <v>0</v>
      </c>
      <c r="O36" s="51"/>
      <c r="P36" s="56">
        <f t="shared" si="12"/>
        <v>0</v>
      </c>
      <c r="Q36" s="51" t="s">
        <v>275</v>
      </c>
      <c r="R36" s="56">
        <f>'CNT 10.31.17'!S35</f>
        <v>86600</v>
      </c>
      <c r="S36" s="56"/>
      <c r="T36" s="56">
        <v>0</v>
      </c>
      <c r="U36" s="56"/>
      <c r="V36" s="56">
        <v>0</v>
      </c>
      <c r="W36" s="56"/>
      <c r="X36" s="56">
        <v>0</v>
      </c>
      <c r="Y36" s="56"/>
      <c r="Z36" s="56">
        <v>0</v>
      </c>
      <c r="AA36" s="56"/>
      <c r="AB36" s="56">
        <v>0</v>
      </c>
      <c r="AC36" s="56"/>
      <c r="AD36" s="56">
        <v>0</v>
      </c>
      <c r="AE36" s="56"/>
      <c r="AF36" s="56">
        <f t="shared" si="13"/>
        <v>86600</v>
      </c>
      <c r="AG36" s="54" t="s">
        <v>275</v>
      </c>
      <c r="AH36" s="63">
        <f t="shared" si="10"/>
        <v>0</v>
      </c>
      <c r="AI36" s="63"/>
      <c r="AJ36" s="58">
        <f t="shared" si="14"/>
        <v>86600</v>
      </c>
      <c r="AK36" s="58"/>
      <c r="AL36" s="63">
        <f t="shared" si="11"/>
        <v>-86600</v>
      </c>
      <c r="AM36" s="63"/>
      <c r="AN36" s="59">
        <f t="shared" si="15"/>
        <v>0</v>
      </c>
      <c r="AO36" s="59"/>
      <c r="AP36" s="60">
        <f t="shared" si="16"/>
        <v>-1</v>
      </c>
    </row>
    <row r="37" spans="1:43" s="54" customFormat="1" ht="24.95" customHeight="1" x14ac:dyDescent="0.2">
      <c r="A37" s="54" t="s">
        <v>605</v>
      </c>
      <c r="B37" s="142">
        <f>CNT!S39</f>
        <v>6500</v>
      </c>
      <c r="C37" s="56"/>
      <c r="D37" s="142">
        <v>0</v>
      </c>
      <c r="E37" s="56"/>
      <c r="F37" s="142">
        <v>0</v>
      </c>
      <c r="G37" s="56"/>
      <c r="H37" s="142">
        <v>0</v>
      </c>
      <c r="I37" s="51"/>
      <c r="J37" s="142">
        <v>0</v>
      </c>
      <c r="K37" s="51"/>
      <c r="L37" s="142">
        <v>0</v>
      </c>
      <c r="M37" s="51"/>
      <c r="N37" s="142">
        <v>0</v>
      </c>
      <c r="O37" s="51"/>
      <c r="P37" s="56">
        <f t="shared" si="12"/>
        <v>6500</v>
      </c>
      <c r="Q37" s="54" t="s">
        <v>605</v>
      </c>
      <c r="R37" s="56">
        <v>0</v>
      </c>
      <c r="S37" s="56"/>
      <c r="T37" s="56">
        <v>0</v>
      </c>
      <c r="U37" s="56"/>
      <c r="V37" s="56">
        <v>0</v>
      </c>
      <c r="W37" s="56"/>
      <c r="X37" s="56">
        <v>0</v>
      </c>
      <c r="Y37" s="56"/>
      <c r="Z37" s="56">
        <v>0</v>
      </c>
      <c r="AA37" s="56"/>
      <c r="AB37" s="56">
        <v>0</v>
      </c>
      <c r="AC37" s="56"/>
      <c r="AD37" s="56">
        <v>0</v>
      </c>
      <c r="AE37" s="56"/>
      <c r="AF37" s="56">
        <f t="shared" si="13"/>
        <v>0</v>
      </c>
      <c r="AG37" s="54" t="s">
        <v>605</v>
      </c>
      <c r="AH37" s="63">
        <f t="shared" si="10"/>
        <v>6500</v>
      </c>
      <c r="AI37" s="63"/>
      <c r="AJ37" s="58">
        <f t="shared" si="14"/>
        <v>0</v>
      </c>
      <c r="AK37" s="58"/>
      <c r="AL37" s="63">
        <f t="shared" si="11"/>
        <v>6500</v>
      </c>
      <c r="AM37" s="63"/>
      <c r="AN37" s="59" t="e">
        <f t="shared" si="15"/>
        <v>#DIV/0!</v>
      </c>
      <c r="AO37" s="59"/>
      <c r="AP37" s="60" t="e">
        <f t="shared" si="16"/>
        <v>#DIV/0!</v>
      </c>
    </row>
    <row r="38" spans="1:43" s="54" customFormat="1" ht="24.95" customHeight="1" x14ac:dyDescent="0.2">
      <c r="A38" s="54" t="s">
        <v>276</v>
      </c>
      <c r="B38" s="144">
        <v>0</v>
      </c>
      <c r="C38" s="66"/>
      <c r="D38" s="144">
        <f>BPM!S19</f>
        <v>9373.9</v>
      </c>
      <c r="E38" s="66"/>
      <c r="F38" s="144">
        <f>DEP!S14</f>
        <v>42807.01</v>
      </c>
      <c r="G38" s="66"/>
      <c r="H38" s="144">
        <f>Lending!F21+Lending!F20</f>
        <v>8268.32</v>
      </c>
      <c r="I38" s="67"/>
      <c r="J38" s="144">
        <v>0</v>
      </c>
      <c r="K38" s="67"/>
      <c r="L38" s="144">
        <v>0</v>
      </c>
      <c r="M38" s="67"/>
      <c r="N38" s="144">
        <v>0</v>
      </c>
      <c r="O38" s="67"/>
      <c r="P38" s="66">
        <f t="shared" si="12"/>
        <v>60449.23</v>
      </c>
      <c r="Q38" s="51" t="s">
        <v>276</v>
      </c>
      <c r="R38" s="66">
        <v>0</v>
      </c>
      <c r="S38" s="66"/>
      <c r="T38" s="66">
        <f>'BPM 10.31.17'!S18</f>
        <v>2585.87</v>
      </c>
      <c r="U38" s="66"/>
      <c r="V38" s="66">
        <f>'DEP 10.31.17'!S14</f>
        <v>220878.11</v>
      </c>
      <c r="W38" s="66"/>
      <c r="X38" s="66">
        <v>0</v>
      </c>
      <c r="Y38" s="66"/>
      <c r="Z38" s="66">
        <v>0</v>
      </c>
      <c r="AA38" s="66"/>
      <c r="AB38" s="66">
        <v>0</v>
      </c>
      <c r="AC38" s="66"/>
      <c r="AD38" s="66">
        <v>0</v>
      </c>
      <c r="AE38" s="66"/>
      <c r="AF38" s="66">
        <f t="shared" si="13"/>
        <v>223463.97999999998</v>
      </c>
      <c r="AG38" s="54" t="s">
        <v>276</v>
      </c>
      <c r="AH38" s="68">
        <f t="shared" si="10"/>
        <v>60449.23</v>
      </c>
      <c r="AI38" s="68"/>
      <c r="AJ38" s="68">
        <f t="shared" si="14"/>
        <v>223463.97999999998</v>
      </c>
      <c r="AK38" s="68"/>
      <c r="AL38" s="68">
        <f t="shared" si="11"/>
        <v>-163014.74999999997</v>
      </c>
      <c r="AM38" s="63"/>
      <c r="AN38" s="59">
        <f t="shared" si="15"/>
        <v>0.27050994974671089</v>
      </c>
      <c r="AO38" s="59"/>
      <c r="AP38" s="60">
        <f t="shared" si="16"/>
        <v>-0.72949005025328906</v>
      </c>
    </row>
    <row r="39" spans="1:43" s="54" customFormat="1" ht="24.95" customHeight="1" x14ac:dyDescent="0.2">
      <c r="A39" s="69" t="s">
        <v>279</v>
      </c>
      <c r="B39" s="142">
        <f>SUM(B31:B38)</f>
        <v>1773482.99</v>
      </c>
      <c r="C39" s="56"/>
      <c r="D39" s="142">
        <f>SUM(D31:D38)</f>
        <v>16373.9</v>
      </c>
      <c r="E39" s="56"/>
      <c r="F39" s="142">
        <f>SUM(F31:F38)</f>
        <v>43909.01</v>
      </c>
      <c r="G39" s="56"/>
      <c r="H39" s="142">
        <f>SUM(H31:H38)</f>
        <v>9268.32</v>
      </c>
      <c r="I39" s="56"/>
      <c r="J39" s="142">
        <f>SUM(J31:J38)</f>
        <v>1546</v>
      </c>
      <c r="K39" s="56"/>
      <c r="L39" s="142">
        <f>SUM(L31:L38)</f>
        <v>0</v>
      </c>
      <c r="M39" s="56"/>
      <c r="N39" s="142">
        <f>SUM(N31:N38)</f>
        <v>0</v>
      </c>
      <c r="O39" s="56"/>
      <c r="P39" s="56">
        <f>SUM(P31:P38)</f>
        <v>1844580.22</v>
      </c>
      <c r="Q39" s="70" t="s">
        <v>279</v>
      </c>
      <c r="R39" s="56">
        <f>SUM(R31:R38)</f>
        <v>8088962.8600000003</v>
      </c>
      <c r="S39" s="56"/>
      <c r="T39" s="56">
        <f>SUM(T31:T38)</f>
        <v>19735.87</v>
      </c>
      <c r="U39" s="56"/>
      <c r="V39" s="56">
        <f>SUM(V31:V38)</f>
        <v>336923.07</v>
      </c>
      <c r="W39" s="56"/>
      <c r="X39" s="56">
        <f>SUM(X31:X38)</f>
        <v>0</v>
      </c>
      <c r="Y39" s="56"/>
      <c r="Z39" s="56">
        <f>SUM(Z31:Z38)</f>
        <v>0</v>
      </c>
      <c r="AA39" s="56"/>
      <c r="AB39" s="56">
        <f>SUM(AB31:AB38)</f>
        <v>0</v>
      </c>
      <c r="AC39" s="56"/>
      <c r="AD39" s="56">
        <f>SUM(AD31:AD38)</f>
        <v>0</v>
      </c>
      <c r="AE39" s="56"/>
      <c r="AF39" s="56">
        <f>SUM(AF31:AF38)</f>
        <v>8445621.8000000007</v>
      </c>
      <c r="AG39" s="69" t="s">
        <v>279</v>
      </c>
      <c r="AH39" s="58">
        <f>SUM(AH31:AH38)</f>
        <v>1844580.22</v>
      </c>
      <c r="AI39" s="58"/>
      <c r="AJ39" s="58">
        <f>SUM(AJ31:AJ38)</f>
        <v>8445621.8000000007</v>
      </c>
      <c r="AK39" s="58"/>
      <c r="AL39" s="58">
        <f>SUM(AL31:AL38)</f>
        <v>-6601041.5800000001</v>
      </c>
      <c r="AM39" s="58"/>
      <c r="AN39" s="59">
        <f t="shared" si="15"/>
        <v>0.21840668025177257</v>
      </c>
      <c r="AO39" s="59"/>
      <c r="AP39" s="60">
        <f t="shared" si="16"/>
        <v>-0.78159331974822743</v>
      </c>
    </row>
    <row r="40" spans="1:43" s="54" customFormat="1" ht="24.95" customHeight="1" x14ac:dyDescent="0.2">
      <c r="A40" s="69"/>
      <c r="B40" s="142"/>
      <c r="C40" s="56"/>
      <c r="D40" s="142"/>
      <c r="E40" s="56"/>
      <c r="F40" s="142"/>
      <c r="G40" s="56"/>
      <c r="H40" s="142"/>
      <c r="I40" s="56"/>
      <c r="J40" s="142"/>
      <c r="K40" s="56"/>
      <c r="L40" s="142"/>
      <c r="M40" s="56"/>
      <c r="N40" s="142"/>
      <c r="O40" s="56"/>
      <c r="P40" s="52"/>
      <c r="Q40" s="70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2"/>
      <c r="AG40" s="69"/>
      <c r="AN40" s="71"/>
      <c r="AO40" s="71"/>
      <c r="AP40" s="60"/>
    </row>
    <row r="41" spans="1:43" s="54" customFormat="1" ht="24.95" customHeight="1" x14ac:dyDescent="0.2">
      <c r="A41" s="73" t="s">
        <v>277</v>
      </c>
      <c r="B41" s="145">
        <f>SUM(B39,B29,B12,B11,B10,B9,B8,B7,B13)</f>
        <v>28567486.660000056</v>
      </c>
      <c r="C41" s="74"/>
      <c r="D41" s="145">
        <f>SUM(D39,D29,D12,D11,D10,D9,D8,D7,D13)</f>
        <v>4585863.0599999996</v>
      </c>
      <c r="E41" s="74"/>
      <c r="F41" s="145">
        <f>SUM(F39,F29,F12,F11,F10,F9,F8,F7,F13)</f>
        <v>4899154.9400000004</v>
      </c>
      <c r="G41" s="74"/>
      <c r="H41" s="145">
        <f>SUM(H39,H29,H12,H11,H10,H9,H8,H7,H13)</f>
        <v>704352.0199999999</v>
      </c>
      <c r="I41" s="74"/>
      <c r="J41" s="145">
        <f>SUM(J39,J29,J12,J11,J10,J9,J8,J7,J13)</f>
        <v>502453.23</v>
      </c>
      <c r="K41" s="74"/>
      <c r="L41" s="145">
        <f>SUM(L39,L29,L12,L11,L10,L9,L8,L7,L13)</f>
        <v>1832314.51</v>
      </c>
      <c r="M41" s="74"/>
      <c r="N41" s="145">
        <f>SUM(N39,N29,N12,N11,N10,N9,N8,N7,N13)</f>
        <v>214907.86</v>
      </c>
      <c r="O41" s="74"/>
      <c r="P41" s="74">
        <f>SUM(P39,P29,P12,P11,P10,P9,P8,P7,P13)</f>
        <v>41306532.280000061</v>
      </c>
      <c r="Q41" s="75" t="s">
        <v>277</v>
      </c>
      <c r="R41" s="74">
        <f>SUM(R39,R29,R12,R11,R10,R9,R8,R7,R13)</f>
        <v>22489004.380000006</v>
      </c>
      <c r="S41" s="74"/>
      <c r="T41" s="74">
        <f>SUM(T39,T29,T12,T11,T10,T9,T8,T7,T13)</f>
        <v>2845438.13</v>
      </c>
      <c r="U41" s="74"/>
      <c r="V41" s="74">
        <f>SUM(V39,V29,V12,V11,V10,V9,V8,V7,V13)</f>
        <v>3371947.48</v>
      </c>
      <c r="W41" s="74"/>
      <c r="X41" s="74">
        <f>SUM(X39,X29,X12,X11,X10,X9,X8,X7,X13)</f>
        <v>1922633.5099999998</v>
      </c>
      <c r="Y41" s="74"/>
      <c r="Z41" s="74">
        <f>SUM(Z39,Z29,Z12,Z11,Z10,Z9,Z8,Z7,Z13)</f>
        <v>462892.4</v>
      </c>
      <c r="AA41" s="74"/>
      <c r="AB41" s="74">
        <f>SUM(AB39,AB29,AB12,AB11,AB10,AB9,AB8,AB7,AB13)</f>
        <v>1792425.7</v>
      </c>
      <c r="AC41" s="74"/>
      <c r="AD41" s="74">
        <f>SUM(AD39,AD29,AD12,AD11,AD10,AD9,AD8,AD7,AD13)</f>
        <v>275530.45</v>
      </c>
      <c r="AE41" s="74"/>
      <c r="AF41" s="74">
        <f>SUM(AF39,AF29,AF12,AF11,AF10,AF9,AF8,AF7,AF13)</f>
        <v>33159872.050000027</v>
      </c>
      <c r="AG41" s="73" t="s">
        <v>277</v>
      </c>
      <c r="AH41" s="76">
        <f>AH29+AH39+AH7+AH8+AH9+AH10+AH11+AH12+AH13</f>
        <v>41306532.280000061</v>
      </c>
      <c r="AI41" s="76"/>
      <c r="AJ41" s="76">
        <f>AJ29+AJ39+AJ7+AJ8+AJ9+AJ10+AJ11+AJ12+AJ13</f>
        <v>33159872.050000027</v>
      </c>
      <c r="AK41" s="76"/>
      <c r="AL41" s="76">
        <f>AL29+AL39+AL7+AL8+AL9+AL10+AL11+AL12+AL13</f>
        <v>8146660.2300000247</v>
      </c>
      <c r="AM41" s="63"/>
      <c r="AN41" s="59">
        <f>AH41/AJ41</f>
        <v>1.2456782769763439</v>
      </c>
      <c r="AO41" s="59"/>
      <c r="AP41" s="60">
        <f>AN41-1</f>
        <v>0.24567827697634392</v>
      </c>
      <c r="AQ41" s="77">
        <f>AH41-P41</f>
        <v>0</v>
      </c>
    </row>
    <row r="42" spans="1:43" s="54" customFormat="1" ht="24.95" customHeight="1" x14ac:dyDescent="0.2">
      <c r="B42" s="142"/>
      <c r="C42" s="56"/>
      <c r="D42" s="142"/>
      <c r="E42" s="56"/>
      <c r="F42" s="142"/>
      <c r="G42" s="56"/>
      <c r="H42" s="141"/>
      <c r="I42" s="51"/>
      <c r="J42" s="141"/>
      <c r="K42" s="51"/>
      <c r="L42" s="141"/>
      <c r="M42" s="51"/>
      <c r="N42" s="141"/>
      <c r="O42" s="51"/>
      <c r="P42" s="52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2"/>
      <c r="AN42" s="71"/>
      <c r="AO42" s="71"/>
      <c r="AP42" s="72"/>
    </row>
    <row r="43" spans="1:43" s="54" customFormat="1" ht="24.95" customHeight="1" x14ac:dyDescent="0.2">
      <c r="A43" s="50" t="s">
        <v>278</v>
      </c>
      <c r="B43" s="142"/>
      <c r="C43" s="56"/>
      <c r="D43" s="142"/>
      <c r="E43" s="56"/>
      <c r="F43" s="142"/>
      <c r="G43" s="56"/>
      <c r="H43" s="141"/>
      <c r="I43" s="51"/>
      <c r="J43" s="141"/>
      <c r="K43" s="51"/>
      <c r="L43" s="141"/>
      <c r="M43" s="51"/>
      <c r="N43" s="141"/>
      <c r="O43" s="51"/>
      <c r="P43" s="52"/>
      <c r="Q43" s="53" t="s">
        <v>278</v>
      </c>
      <c r="R43" s="78"/>
      <c r="S43" s="78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2"/>
      <c r="AG43" s="50" t="s">
        <v>278</v>
      </c>
      <c r="AN43" s="71"/>
      <c r="AO43" s="71"/>
      <c r="AP43" s="72"/>
    </row>
    <row r="44" spans="1:43" s="54" customFormat="1" ht="24.95" customHeight="1" x14ac:dyDescent="0.2">
      <c r="A44" s="54" t="s">
        <v>289</v>
      </c>
      <c r="B44" s="142">
        <f>CNT!S56</f>
        <v>1112375.6499999999</v>
      </c>
      <c r="C44" s="56"/>
      <c r="D44" s="142">
        <f>BPM!S25</f>
        <v>8577.17</v>
      </c>
      <c r="E44" s="56"/>
      <c r="F44" s="142">
        <f>DEP!S21</f>
        <v>138413.75</v>
      </c>
      <c r="G44" s="56"/>
      <c r="H44" s="142">
        <v>0</v>
      </c>
      <c r="I44" s="51"/>
      <c r="J44" s="142">
        <v>0</v>
      </c>
      <c r="K44" s="51"/>
      <c r="L44" s="142">
        <v>0</v>
      </c>
      <c r="M44" s="51"/>
      <c r="N44" s="142">
        <f>'722 Bedford St'!E24</f>
        <v>9394.19</v>
      </c>
      <c r="O44" s="51"/>
      <c r="P44" s="56">
        <f>SUM(B44:N44)</f>
        <v>1268760.7599999998</v>
      </c>
      <c r="Q44" s="51" t="s">
        <v>289</v>
      </c>
      <c r="R44" s="56">
        <f>'CNT 10.31.17'!S44</f>
        <v>1112362.45</v>
      </c>
      <c r="S44" s="56"/>
      <c r="T44" s="56">
        <f>'BPM 10.31.17'!S23</f>
        <v>8577.17</v>
      </c>
      <c r="U44" s="56"/>
      <c r="V44" s="56">
        <f>'DEP 10.31.17'!S20</f>
        <v>135293.78</v>
      </c>
      <c r="W44" s="56"/>
      <c r="X44" s="56">
        <v>0</v>
      </c>
      <c r="Y44" s="56"/>
      <c r="Z44" s="56">
        <v>0</v>
      </c>
      <c r="AA44" s="56"/>
      <c r="AB44" s="56">
        <v>0</v>
      </c>
      <c r="AC44" s="56"/>
      <c r="AD44" s="56">
        <f>'722 Bedford St 10.31.17'!F15</f>
        <v>9394.19</v>
      </c>
      <c r="AE44" s="56"/>
      <c r="AF44" s="56">
        <f>SUM(R44:AD44)</f>
        <v>1265627.5899999999</v>
      </c>
      <c r="AG44" s="54" t="s">
        <v>289</v>
      </c>
      <c r="AH44" s="63">
        <f t="shared" ref="AH44:AH55" si="17">P44</f>
        <v>1268760.7599999998</v>
      </c>
      <c r="AI44" s="63"/>
      <c r="AJ44" s="63">
        <f>AF44</f>
        <v>1265627.5899999999</v>
      </c>
      <c r="AK44" s="63"/>
      <c r="AL44" s="63">
        <f t="shared" ref="AL44:AL55" si="18">AH44-AJ44</f>
        <v>3133.1699999999255</v>
      </c>
      <c r="AM44" s="63"/>
      <c r="AN44" s="59">
        <f t="shared" ref="AN44:AN60" si="19">AH44/AJ44</f>
        <v>1.002475586045023</v>
      </c>
      <c r="AO44" s="59"/>
      <c r="AP44" s="60">
        <f t="shared" ref="AP44:AP60" si="20">AN44-1</f>
        <v>2.4755860450229594E-3</v>
      </c>
    </row>
    <row r="45" spans="1:43" s="54" customFormat="1" ht="24.95" customHeight="1" x14ac:dyDescent="0.2">
      <c r="A45" s="54" t="s">
        <v>280</v>
      </c>
      <c r="B45" s="142">
        <f>CNT!S57</f>
        <v>45071.88</v>
      </c>
      <c r="C45" s="56"/>
      <c r="D45" s="142">
        <v>0</v>
      </c>
      <c r="E45" s="56"/>
      <c r="F45" s="142">
        <v>0</v>
      </c>
      <c r="G45" s="56"/>
      <c r="H45" s="142">
        <v>0</v>
      </c>
      <c r="I45" s="51"/>
      <c r="J45" s="142">
        <v>0</v>
      </c>
      <c r="K45" s="51"/>
      <c r="L45" s="142">
        <v>0</v>
      </c>
      <c r="M45" s="51"/>
      <c r="N45" s="142">
        <v>0</v>
      </c>
      <c r="O45" s="51"/>
      <c r="P45" s="56">
        <f t="shared" ref="P45:P54" si="21">SUM(B45:N45)</f>
        <v>45071.88</v>
      </c>
      <c r="Q45" s="51" t="s">
        <v>280</v>
      </c>
      <c r="R45" s="56">
        <f>'CNT 10.31.17'!S45</f>
        <v>45071.88</v>
      </c>
      <c r="S45" s="56"/>
      <c r="T45" s="56">
        <v>0</v>
      </c>
      <c r="U45" s="56"/>
      <c r="V45" s="56">
        <v>0</v>
      </c>
      <c r="W45" s="56"/>
      <c r="X45" s="56">
        <v>0</v>
      </c>
      <c r="Y45" s="56"/>
      <c r="Z45" s="56">
        <v>0</v>
      </c>
      <c r="AA45" s="56"/>
      <c r="AB45" s="56">
        <v>0</v>
      </c>
      <c r="AC45" s="56"/>
      <c r="AD45" s="56">
        <v>0</v>
      </c>
      <c r="AE45" s="56"/>
      <c r="AF45" s="56">
        <f t="shared" ref="AF45:AF54" si="22">SUM(R45:AD45)</f>
        <v>45071.88</v>
      </c>
      <c r="AG45" s="54" t="s">
        <v>280</v>
      </c>
      <c r="AH45" s="63">
        <f t="shared" si="17"/>
        <v>45071.88</v>
      </c>
      <c r="AI45" s="63"/>
      <c r="AJ45" s="63">
        <f t="shared" ref="AJ45:AJ55" si="23">AF45</f>
        <v>45071.88</v>
      </c>
      <c r="AK45" s="63"/>
      <c r="AL45" s="63">
        <f t="shared" si="18"/>
        <v>0</v>
      </c>
      <c r="AM45" s="63"/>
      <c r="AN45" s="59">
        <f t="shared" si="19"/>
        <v>1</v>
      </c>
      <c r="AO45" s="59"/>
      <c r="AP45" s="60">
        <f t="shared" si="20"/>
        <v>0</v>
      </c>
    </row>
    <row r="46" spans="1:43" s="54" customFormat="1" ht="24.95" customHeight="1" x14ac:dyDescent="0.2">
      <c r="A46" s="54" t="s">
        <v>291</v>
      </c>
      <c r="B46" s="142">
        <f>CNT!S58</f>
        <v>715632.48</v>
      </c>
      <c r="C46" s="56"/>
      <c r="D46" s="142">
        <v>0</v>
      </c>
      <c r="E46" s="56"/>
      <c r="F46" s="142">
        <v>0</v>
      </c>
      <c r="G46" s="56"/>
      <c r="H46" s="142">
        <v>0</v>
      </c>
      <c r="I46" s="51"/>
      <c r="J46" s="142">
        <v>0</v>
      </c>
      <c r="K46" s="51"/>
      <c r="L46" s="142">
        <v>0</v>
      </c>
      <c r="M46" s="51"/>
      <c r="N46" s="142">
        <v>0</v>
      </c>
      <c r="O46" s="51"/>
      <c r="P46" s="56">
        <f t="shared" si="21"/>
        <v>715632.48</v>
      </c>
      <c r="Q46" s="51" t="s">
        <v>291</v>
      </c>
      <c r="R46" s="56">
        <f>'CNT 10.31.17'!S46</f>
        <v>715632.48</v>
      </c>
      <c r="S46" s="56"/>
      <c r="T46" s="56">
        <v>0</v>
      </c>
      <c r="U46" s="56"/>
      <c r="V46" s="56">
        <v>0</v>
      </c>
      <c r="W46" s="56"/>
      <c r="X46" s="56">
        <v>0</v>
      </c>
      <c r="Y46" s="56"/>
      <c r="Z46" s="56">
        <v>0</v>
      </c>
      <c r="AA46" s="56"/>
      <c r="AB46" s="56">
        <v>0</v>
      </c>
      <c r="AC46" s="56"/>
      <c r="AD46" s="56">
        <v>0</v>
      </c>
      <c r="AE46" s="56"/>
      <c r="AF46" s="56">
        <f t="shared" si="22"/>
        <v>715632.48</v>
      </c>
      <c r="AG46" s="54" t="s">
        <v>291</v>
      </c>
      <c r="AH46" s="63">
        <f t="shared" si="17"/>
        <v>715632.48</v>
      </c>
      <c r="AI46" s="63"/>
      <c r="AJ46" s="63">
        <f t="shared" si="23"/>
        <v>715632.48</v>
      </c>
      <c r="AK46" s="63"/>
      <c r="AL46" s="63">
        <f t="shared" si="18"/>
        <v>0</v>
      </c>
      <c r="AM46" s="63"/>
      <c r="AN46" s="59">
        <f t="shared" si="19"/>
        <v>1</v>
      </c>
      <c r="AO46" s="59"/>
      <c r="AP46" s="60">
        <f t="shared" si="20"/>
        <v>0</v>
      </c>
    </row>
    <row r="47" spans="1:43" s="54" customFormat="1" ht="24.95" customHeight="1" x14ac:dyDescent="0.2">
      <c r="A47" s="54" t="s">
        <v>281</v>
      </c>
      <c r="B47" s="142">
        <f>CNT!S59</f>
        <v>4588704.43</v>
      </c>
      <c r="C47" s="56"/>
      <c r="D47" s="142">
        <v>0</v>
      </c>
      <c r="E47" s="56"/>
      <c r="F47" s="142">
        <f>DEP!S22</f>
        <v>196205.25</v>
      </c>
      <c r="G47" s="56"/>
      <c r="H47" s="142">
        <v>0</v>
      </c>
      <c r="I47" s="51"/>
      <c r="J47" s="142">
        <v>0</v>
      </c>
      <c r="K47" s="51"/>
      <c r="L47" s="142">
        <v>0</v>
      </c>
      <c r="M47" s="51"/>
      <c r="N47" s="142">
        <v>0</v>
      </c>
      <c r="O47" s="51"/>
      <c r="P47" s="56">
        <f t="shared" si="21"/>
        <v>4784909.68</v>
      </c>
      <c r="Q47" s="51" t="s">
        <v>281</v>
      </c>
      <c r="R47" s="56">
        <f>'CNT 10.31.17'!S47</f>
        <v>4567600.49</v>
      </c>
      <c r="S47" s="56"/>
      <c r="T47" s="56">
        <v>0</v>
      </c>
      <c r="U47" s="56"/>
      <c r="V47" s="56">
        <f>'DEP 10.31.17'!S21</f>
        <v>193555.25</v>
      </c>
      <c r="W47" s="56"/>
      <c r="X47" s="56">
        <v>0</v>
      </c>
      <c r="Y47" s="56"/>
      <c r="Z47" s="56">
        <v>0</v>
      </c>
      <c r="AA47" s="56"/>
      <c r="AB47" s="56">
        <v>0</v>
      </c>
      <c r="AC47" s="56"/>
      <c r="AD47" s="56">
        <v>0</v>
      </c>
      <c r="AE47" s="56"/>
      <c r="AF47" s="56">
        <f t="shared" si="22"/>
        <v>4761155.74</v>
      </c>
      <c r="AG47" s="54" t="s">
        <v>281</v>
      </c>
      <c r="AH47" s="63">
        <f t="shared" si="17"/>
        <v>4784909.68</v>
      </c>
      <c r="AI47" s="63"/>
      <c r="AJ47" s="63">
        <f t="shared" si="23"/>
        <v>4761155.74</v>
      </c>
      <c r="AK47" s="63"/>
      <c r="AL47" s="63">
        <f t="shared" si="18"/>
        <v>23753.939999999478</v>
      </c>
      <c r="AM47" s="63"/>
      <c r="AN47" s="59">
        <f t="shared" si="19"/>
        <v>1.0049891121604015</v>
      </c>
      <c r="AO47" s="59"/>
      <c r="AP47" s="60">
        <f t="shared" si="20"/>
        <v>4.9891121604015432E-3</v>
      </c>
    </row>
    <row r="48" spans="1:43" s="54" customFormat="1" ht="24.95" customHeight="1" x14ac:dyDescent="0.2">
      <c r="A48" s="54" t="s">
        <v>282</v>
      </c>
      <c r="B48" s="142">
        <f>CNT!S60</f>
        <v>460539.38</v>
      </c>
      <c r="C48" s="56"/>
      <c r="D48" s="142">
        <v>0</v>
      </c>
      <c r="E48" s="56"/>
      <c r="F48" s="142">
        <v>0</v>
      </c>
      <c r="G48" s="56"/>
      <c r="H48" s="142">
        <v>0</v>
      </c>
      <c r="I48" s="51"/>
      <c r="J48" s="142">
        <v>0</v>
      </c>
      <c r="K48" s="51"/>
      <c r="L48" s="142">
        <v>0</v>
      </c>
      <c r="M48" s="51"/>
      <c r="N48" s="142">
        <v>0</v>
      </c>
      <c r="O48" s="51"/>
      <c r="P48" s="56">
        <f t="shared" si="21"/>
        <v>460539.38</v>
      </c>
      <c r="Q48" s="51" t="s">
        <v>282</v>
      </c>
      <c r="R48" s="56">
        <f>'CNT 10.31.17'!S48</f>
        <v>460539.38</v>
      </c>
      <c r="S48" s="56"/>
      <c r="T48" s="56">
        <v>0</v>
      </c>
      <c r="U48" s="56"/>
      <c r="V48" s="56">
        <v>0</v>
      </c>
      <c r="W48" s="56"/>
      <c r="X48" s="56">
        <v>0</v>
      </c>
      <c r="Y48" s="56"/>
      <c r="Z48" s="56">
        <v>0</v>
      </c>
      <c r="AA48" s="56"/>
      <c r="AB48" s="56">
        <v>0</v>
      </c>
      <c r="AC48" s="56"/>
      <c r="AD48" s="56">
        <v>0</v>
      </c>
      <c r="AE48" s="56"/>
      <c r="AF48" s="56">
        <f t="shared" si="22"/>
        <v>460539.38</v>
      </c>
      <c r="AG48" s="54" t="s">
        <v>282</v>
      </c>
      <c r="AH48" s="63">
        <f t="shared" si="17"/>
        <v>460539.38</v>
      </c>
      <c r="AI48" s="63"/>
      <c r="AJ48" s="63">
        <f t="shared" si="23"/>
        <v>460539.38</v>
      </c>
      <c r="AK48" s="63"/>
      <c r="AL48" s="63">
        <f t="shared" si="18"/>
        <v>0</v>
      </c>
      <c r="AM48" s="63"/>
      <c r="AN48" s="59">
        <f t="shared" si="19"/>
        <v>1</v>
      </c>
      <c r="AO48" s="59"/>
      <c r="AP48" s="60">
        <f t="shared" si="20"/>
        <v>0</v>
      </c>
    </row>
    <row r="49" spans="1:43" s="54" customFormat="1" ht="24.95" customHeight="1" x14ac:dyDescent="0.2">
      <c r="A49" s="54" t="s">
        <v>283</v>
      </c>
      <c r="B49" s="142">
        <f>CNT!S62</f>
        <v>3117881.16</v>
      </c>
      <c r="C49" s="56"/>
      <c r="D49" s="142">
        <f>BPM!S26</f>
        <v>20237.79</v>
      </c>
      <c r="E49" s="56"/>
      <c r="F49" s="142">
        <f>DEP!S23</f>
        <v>716032.14</v>
      </c>
      <c r="G49" s="56"/>
      <c r="H49" s="142">
        <v>0</v>
      </c>
      <c r="I49" s="51"/>
      <c r="J49" s="142">
        <v>0</v>
      </c>
      <c r="K49" s="51"/>
      <c r="L49" s="142">
        <v>0</v>
      </c>
      <c r="M49" s="51"/>
      <c r="N49" s="142">
        <v>0</v>
      </c>
      <c r="O49" s="51"/>
      <c r="P49" s="56">
        <f t="shared" si="21"/>
        <v>3854151.0900000003</v>
      </c>
      <c r="Q49" s="51" t="s">
        <v>283</v>
      </c>
      <c r="R49" s="56">
        <f>'CNT 10.31.17'!S50</f>
        <v>3085394.68</v>
      </c>
      <c r="S49" s="56"/>
      <c r="T49" s="56">
        <f>'BPM 10.31.17'!S24</f>
        <v>20237.79</v>
      </c>
      <c r="U49" s="56"/>
      <c r="V49" s="56">
        <f>'DEP 10.31.17'!S22</f>
        <v>688928.84</v>
      </c>
      <c r="W49" s="56"/>
      <c r="X49" s="56">
        <v>0</v>
      </c>
      <c r="Y49" s="56"/>
      <c r="Z49" s="56">
        <v>0</v>
      </c>
      <c r="AA49" s="56"/>
      <c r="AB49" s="56">
        <v>0</v>
      </c>
      <c r="AC49" s="56"/>
      <c r="AD49" s="56">
        <v>0</v>
      </c>
      <c r="AE49" s="56"/>
      <c r="AF49" s="56">
        <f t="shared" si="22"/>
        <v>3794561.31</v>
      </c>
      <c r="AG49" s="54" t="s">
        <v>283</v>
      </c>
      <c r="AH49" s="63">
        <f t="shared" si="17"/>
        <v>3854151.0900000003</v>
      </c>
      <c r="AI49" s="63"/>
      <c r="AJ49" s="63">
        <f t="shared" si="23"/>
        <v>3794561.31</v>
      </c>
      <c r="AK49" s="63"/>
      <c r="AL49" s="63">
        <f t="shared" si="18"/>
        <v>59589.780000000261</v>
      </c>
      <c r="AM49" s="63"/>
      <c r="AN49" s="59">
        <f t="shared" si="19"/>
        <v>1.0157039971505957</v>
      </c>
      <c r="AO49" s="59"/>
      <c r="AP49" s="60">
        <f t="shared" si="20"/>
        <v>1.5703997150595672E-2</v>
      </c>
    </row>
    <row r="50" spans="1:43" s="54" customFormat="1" ht="24.95" customHeight="1" x14ac:dyDescent="0.2">
      <c r="A50" s="54" t="s">
        <v>284</v>
      </c>
      <c r="B50" s="142">
        <f>CNT!S63</f>
        <v>11428.88</v>
      </c>
      <c r="C50" s="56"/>
      <c r="D50" s="142">
        <v>0</v>
      </c>
      <c r="E50" s="56"/>
      <c r="F50" s="142">
        <v>0</v>
      </c>
      <c r="G50" s="56"/>
      <c r="H50" s="142">
        <v>0</v>
      </c>
      <c r="I50" s="51"/>
      <c r="J50" s="142">
        <v>0</v>
      </c>
      <c r="K50" s="51"/>
      <c r="L50" s="142">
        <v>0</v>
      </c>
      <c r="M50" s="51"/>
      <c r="N50" s="142">
        <v>0</v>
      </c>
      <c r="O50" s="51"/>
      <c r="P50" s="56">
        <f t="shared" si="21"/>
        <v>11428.88</v>
      </c>
      <c r="Q50" s="51" t="s">
        <v>284</v>
      </c>
      <c r="R50" s="56">
        <f>'CNT 10.31.17'!S51</f>
        <v>11428.88</v>
      </c>
      <c r="S50" s="56"/>
      <c r="T50" s="56">
        <v>0</v>
      </c>
      <c r="U50" s="56"/>
      <c r="V50" s="56">
        <v>0</v>
      </c>
      <c r="W50" s="56"/>
      <c r="X50" s="56">
        <v>0</v>
      </c>
      <c r="Y50" s="56"/>
      <c r="Z50" s="56">
        <v>0</v>
      </c>
      <c r="AA50" s="56"/>
      <c r="AB50" s="56">
        <v>0</v>
      </c>
      <c r="AC50" s="56"/>
      <c r="AD50" s="56">
        <v>0</v>
      </c>
      <c r="AE50" s="56"/>
      <c r="AF50" s="56">
        <f t="shared" si="22"/>
        <v>11428.88</v>
      </c>
      <c r="AG50" s="54" t="s">
        <v>284</v>
      </c>
      <c r="AH50" s="63">
        <f t="shared" si="17"/>
        <v>11428.88</v>
      </c>
      <c r="AI50" s="63"/>
      <c r="AJ50" s="63">
        <f t="shared" si="23"/>
        <v>11428.88</v>
      </c>
      <c r="AK50" s="63"/>
      <c r="AL50" s="63">
        <f t="shared" si="18"/>
        <v>0</v>
      </c>
      <c r="AM50" s="63"/>
      <c r="AN50" s="59">
        <f t="shared" si="19"/>
        <v>1</v>
      </c>
      <c r="AO50" s="59"/>
      <c r="AP50" s="60">
        <f t="shared" si="20"/>
        <v>0</v>
      </c>
    </row>
    <row r="51" spans="1:43" s="54" customFormat="1" ht="24.95" customHeight="1" x14ac:dyDescent="0.2">
      <c r="A51" s="54" t="s">
        <v>285</v>
      </c>
      <c r="B51" s="142">
        <f>CNT!S64</f>
        <v>205633.94</v>
      </c>
      <c r="C51" s="56"/>
      <c r="D51" s="142">
        <v>0</v>
      </c>
      <c r="E51" s="56"/>
      <c r="F51" s="142">
        <v>0</v>
      </c>
      <c r="G51" s="56"/>
      <c r="H51" s="142">
        <v>0</v>
      </c>
      <c r="I51" s="51"/>
      <c r="J51" s="142">
        <v>0</v>
      </c>
      <c r="K51" s="51"/>
      <c r="L51" s="142">
        <v>0</v>
      </c>
      <c r="M51" s="51"/>
      <c r="N51" s="142">
        <v>0</v>
      </c>
      <c r="O51" s="51"/>
      <c r="P51" s="56">
        <f t="shared" si="21"/>
        <v>205633.94</v>
      </c>
      <c r="Q51" s="51" t="s">
        <v>285</v>
      </c>
      <c r="R51" s="56">
        <f>'CNT 10.31.17'!S52</f>
        <v>205633.94</v>
      </c>
      <c r="S51" s="56"/>
      <c r="T51" s="56">
        <v>0</v>
      </c>
      <c r="U51" s="56"/>
      <c r="V51" s="56">
        <v>0</v>
      </c>
      <c r="W51" s="56"/>
      <c r="X51" s="56">
        <v>0</v>
      </c>
      <c r="Y51" s="56"/>
      <c r="Z51" s="56">
        <v>0</v>
      </c>
      <c r="AA51" s="56"/>
      <c r="AB51" s="56">
        <v>0</v>
      </c>
      <c r="AC51" s="56"/>
      <c r="AD51" s="56">
        <v>0</v>
      </c>
      <c r="AE51" s="56"/>
      <c r="AF51" s="56">
        <f t="shared" si="22"/>
        <v>205633.94</v>
      </c>
      <c r="AG51" s="54" t="s">
        <v>285</v>
      </c>
      <c r="AH51" s="63">
        <f t="shared" si="17"/>
        <v>205633.94</v>
      </c>
      <c r="AI51" s="63"/>
      <c r="AJ51" s="63">
        <f t="shared" si="23"/>
        <v>205633.94</v>
      </c>
      <c r="AK51" s="63"/>
      <c r="AL51" s="63">
        <f t="shared" si="18"/>
        <v>0</v>
      </c>
      <c r="AM51" s="63"/>
      <c r="AN51" s="59">
        <f t="shared" si="19"/>
        <v>1</v>
      </c>
      <c r="AO51" s="59"/>
      <c r="AP51" s="60">
        <f t="shared" si="20"/>
        <v>0</v>
      </c>
    </row>
    <row r="52" spans="1:43" s="54" customFormat="1" ht="24.95" customHeight="1" x14ac:dyDescent="0.2">
      <c r="A52" s="54" t="s">
        <v>286</v>
      </c>
      <c r="B52" s="142">
        <f>CNT!S65</f>
        <v>2023589.41</v>
      </c>
      <c r="C52" s="56"/>
      <c r="D52" s="142">
        <v>0</v>
      </c>
      <c r="E52" s="56"/>
      <c r="F52" s="142">
        <f>DEP!S24</f>
        <v>0</v>
      </c>
      <c r="G52" s="56"/>
      <c r="H52" s="142">
        <v>0</v>
      </c>
      <c r="I52" s="51"/>
      <c r="J52" s="142">
        <v>0</v>
      </c>
      <c r="K52" s="51"/>
      <c r="L52" s="142">
        <v>0</v>
      </c>
      <c r="M52" s="51"/>
      <c r="N52" s="142">
        <f>'722 Bedford St'!E28</f>
        <v>332498</v>
      </c>
      <c r="O52" s="51"/>
      <c r="P52" s="56">
        <f t="shared" si="21"/>
        <v>2356087.41</v>
      </c>
      <c r="Q52" s="51" t="s">
        <v>286</v>
      </c>
      <c r="R52" s="56">
        <f>'CNT 10.31.17'!S53</f>
        <v>2023589.41</v>
      </c>
      <c r="S52" s="56"/>
      <c r="T52" s="56">
        <v>0</v>
      </c>
      <c r="U52" s="56"/>
      <c r="V52" s="56">
        <v>0</v>
      </c>
      <c r="W52" s="56"/>
      <c r="X52" s="56">
        <v>0</v>
      </c>
      <c r="Y52" s="56"/>
      <c r="Z52" s="56">
        <v>0</v>
      </c>
      <c r="AA52" s="56"/>
      <c r="AB52" s="56">
        <v>0</v>
      </c>
      <c r="AC52" s="56"/>
      <c r="AD52" s="56">
        <v>0</v>
      </c>
      <c r="AE52" s="56"/>
      <c r="AF52" s="56">
        <f t="shared" si="22"/>
        <v>2023589.41</v>
      </c>
      <c r="AG52" s="54" t="s">
        <v>286</v>
      </c>
      <c r="AH52" s="63">
        <f t="shared" si="17"/>
        <v>2356087.41</v>
      </c>
      <c r="AI52" s="63"/>
      <c r="AJ52" s="63">
        <f t="shared" si="23"/>
        <v>2023589.41</v>
      </c>
      <c r="AK52" s="63"/>
      <c r="AL52" s="63">
        <f t="shared" si="18"/>
        <v>332498.00000000023</v>
      </c>
      <c r="AM52" s="63"/>
      <c r="AN52" s="59">
        <f t="shared" si="19"/>
        <v>1.1643110002241019</v>
      </c>
      <c r="AO52" s="59"/>
      <c r="AP52" s="60">
        <f t="shared" si="20"/>
        <v>0.16431100022410194</v>
      </c>
    </row>
    <row r="53" spans="1:43" s="54" customFormat="1" ht="24.95" customHeight="1" x14ac:dyDescent="0.2">
      <c r="A53" s="54" t="s">
        <v>287</v>
      </c>
      <c r="B53" s="142">
        <f>CNT!S66</f>
        <v>4908922.5999999996</v>
      </c>
      <c r="C53" s="56"/>
      <c r="D53" s="142">
        <v>0</v>
      </c>
      <c r="E53" s="56"/>
      <c r="F53" s="142">
        <v>0</v>
      </c>
      <c r="G53" s="56"/>
      <c r="H53" s="142">
        <v>0</v>
      </c>
      <c r="I53" s="51"/>
      <c r="J53" s="142">
        <v>0</v>
      </c>
      <c r="K53" s="51"/>
      <c r="L53" s="142">
        <v>0</v>
      </c>
      <c r="M53" s="51"/>
      <c r="N53" s="142">
        <v>0</v>
      </c>
      <c r="O53" s="51"/>
      <c r="P53" s="56">
        <f t="shared" si="21"/>
        <v>4908922.5999999996</v>
      </c>
      <c r="Q53" s="51" t="s">
        <v>287</v>
      </c>
      <c r="R53" s="56">
        <f>'CNT 10.31.17'!S54</f>
        <v>4109663.16</v>
      </c>
      <c r="S53" s="56"/>
      <c r="T53" s="56">
        <v>0</v>
      </c>
      <c r="U53" s="56"/>
      <c r="V53" s="56">
        <v>0</v>
      </c>
      <c r="W53" s="56"/>
      <c r="X53" s="56">
        <v>0</v>
      </c>
      <c r="Y53" s="56"/>
      <c r="Z53" s="56">
        <v>0</v>
      </c>
      <c r="AA53" s="56"/>
      <c r="AB53" s="56">
        <v>0</v>
      </c>
      <c r="AC53" s="56"/>
      <c r="AD53" s="56">
        <v>0</v>
      </c>
      <c r="AE53" s="56"/>
      <c r="AF53" s="56">
        <f t="shared" si="22"/>
        <v>4109663.16</v>
      </c>
      <c r="AG53" s="54" t="s">
        <v>287</v>
      </c>
      <c r="AH53" s="63">
        <f t="shared" si="17"/>
        <v>4908922.5999999996</v>
      </c>
      <c r="AI53" s="63"/>
      <c r="AJ53" s="63">
        <f t="shared" si="23"/>
        <v>4109663.16</v>
      </c>
      <c r="AK53" s="63"/>
      <c r="AL53" s="63">
        <f t="shared" si="18"/>
        <v>799259.43999999948</v>
      </c>
      <c r="AM53" s="63"/>
      <c r="AN53" s="59">
        <f t="shared" si="19"/>
        <v>1.1944829561165298</v>
      </c>
      <c r="AO53" s="59"/>
      <c r="AP53" s="60">
        <f t="shared" si="20"/>
        <v>0.19448295611652977</v>
      </c>
    </row>
    <row r="54" spans="1:43" s="54" customFormat="1" ht="24.95" customHeight="1" x14ac:dyDescent="0.2">
      <c r="A54" s="54" t="s">
        <v>290</v>
      </c>
      <c r="B54" s="142">
        <f>CNT!S67</f>
        <v>70738.81</v>
      </c>
      <c r="C54" s="56"/>
      <c r="D54" s="142">
        <v>0</v>
      </c>
      <c r="E54" s="56"/>
      <c r="F54" s="142">
        <v>0</v>
      </c>
      <c r="G54" s="56"/>
      <c r="H54" s="142">
        <v>0</v>
      </c>
      <c r="I54" s="51"/>
      <c r="J54" s="142">
        <f>BSC!F11+BSC!F12+BSC!F13+BSC!F14+BSC!F15+BSC!F16+BSC!F17+BSC!F18+BSC!F19+BSC!F20+BSC!F21+BSC!F22+BSC!F23+BSC!F24+BSC!F25+BSC!F26+BSC!F27+BSC!F28+BSC!F29+BSC!F30+BSC!F31+BSC!F32+BSC!F33</f>
        <v>3942698.5999999996</v>
      </c>
      <c r="K54" s="51"/>
      <c r="L54" s="142">
        <f>'Oliari Co'!F25-'Oliari Co'!F22+'Oliari Co'!F53</f>
        <v>4810642.5599999996</v>
      </c>
      <c r="M54" s="51"/>
      <c r="N54" s="142">
        <f>'722 Bedford St'!E23+'722 Bedford St'!E25+'722 Bedford St'!E26+'722 Bedford St'!E27</f>
        <v>8757113.9699999988</v>
      </c>
      <c r="O54" s="51"/>
      <c r="P54" s="56">
        <f t="shared" si="21"/>
        <v>17581193.939999998</v>
      </c>
      <c r="Q54" s="54" t="s">
        <v>509</v>
      </c>
      <c r="R54" s="56">
        <f>'CNT 10.31.17'!S55</f>
        <v>70738.81</v>
      </c>
      <c r="S54" s="56"/>
      <c r="T54" s="56">
        <v>0</v>
      </c>
      <c r="U54" s="56"/>
      <c r="V54" s="56">
        <v>0</v>
      </c>
      <c r="W54" s="56"/>
      <c r="X54" s="56">
        <v>0</v>
      </c>
      <c r="Y54" s="56"/>
      <c r="Z54" s="56">
        <f>'BSC 10.31.17'!F12+'BSC 10.31.17'!F13+'BSC 10.31.17'!F14+'BSC 10.31.17'!F15+'BSC 10.31.17'!F16+'BSC 10.31.17'!F17+'BSC 10.31.17'!F18+'BSC 10.31.17'!F19+'BSC 10.31.17'!F20+'BSC 10.31.17'!F21+'BSC 10.31.17'!F22+'BSC 10.31.17'!F23+'BSC 10.31.17'!F24+'BSC 10.31.17'!F25+'BSC 10.31.17'!F26+'BSC 10.31.17'!F27+'BSC 10.31.17'!F28+'BSC 10.31.17'!F29+'BSC 10.31.17'!F30+'BSC 10.31.17'!F31+'BSC 10.31.17'!F32+'BSC 10.31.17'!F33+'BSC 10.31.17'!F34</f>
        <v>3916402.0799999996</v>
      </c>
      <c r="AA54" s="56"/>
      <c r="AB54" s="56">
        <f>'Oliari Co 10.31.17'!F26+'Oliari Co 10.31.17'!F54+-'Oliari Co 10.31.17'!F21</f>
        <v>4812251.88</v>
      </c>
      <c r="AC54" s="56"/>
      <c r="AD54" s="56">
        <f>'722 Bedford St 10.31.17'!F13+'722 Bedford St 10.31.17'!F14+'722 Bedford St 10.31.17'!F16+'722 Bedford St 10.31.17'!F17+'722 Bedford St 10.31.17'!F18</f>
        <v>8514473.8699999992</v>
      </c>
      <c r="AE54" s="56"/>
      <c r="AF54" s="56">
        <f t="shared" si="22"/>
        <v>17313866.640000001</v>
      </c>
      <c r="AG54" s="54" t="s">
        <v>509</v>
      </c>
      <c r="AH54" s="63">
        <f t="shared" si="17"/>
        <v>17581193.939999998</v>
      </c>
      <c r="AI54" s="63"/>
      <c r="AJ54" s="63">
        <f t="shared" si="23"/>
        <v>17313866.640000001</v>
      </c>
      <c r="AK54" s="63"/>
      <c r="AL54" s="63">
        <f t="shared" si="18"/>
        <v>267327.29999999702</v>
      </c>
      <c r="AM54" s="63"/>
      <c r="AN54" s="59">
        <f t="shared" si="19"/>
        <v>1.0154400692553791</v>
      </c>
      <c r="AO54" s="59"/>
      <c r="AP54" s="60">
        <f t="shared" si="20"/>
        <v>1.5440069255379107E-2</v>
      </c>
    </row>
    <row r="55" spans="1:43" s="54" customFormat="1" ht="24.95" customHeight="1" x14ac:dyDescent="0.2">
      <c r="A55" s="54" t="s">
        <v>288</v>
      </c>
      <c r="B55" s="144">
        <f>CNT!S68</f>
        <v>-7528469.54</v>
      </c>
      <c r="C55" s="66"/>
      <c r="D55" s="144">
        <f>BPM!S27</f>
        <v>-11907.03</v>
      </c>
      <c r="E55" s="66"/>
      <c r="F55" s="144">
        <f>DEP!S25</f>
        <v>-582828.01</v>
      </c>
      <c r="G55" s="66"/>
      <c r="H55" s="144">
        <v>0</v>
      </c>
      <c r="I55" s="67"/>
      <c r="J55" s="144">
        <f>BSC!F34</f>
        <v>-2422939.66</v>
      </c>
      <c r="K55" s="67"/>
      <c r="L55" s="144">
        <f>'Oliari Co'!F22</f>
        <v>-1427483.38</v>
      </c>
      <c r="M55" s="67"/>
      <c r="N55" s="144">
        <f>'722 Bedford St'!E19+'722 Bedford St'!E20+'722 Bedford St'!E21+'722 Bedford St'!E22</f>
        <v>-1061402.28</v>
      </c>
      <c r="O55" s="67"/>
      <c r="P55" s="66">
        <f>SUM(B55:N55)</f>
        <v>-13035029.9</v>
      </c>
      <c r="Q55" s="54" t="s">
        <v>529</v>
      </c>
      <c r="R55" s="66">
        <f>'CNT 10.31.17'!S56</f>
        <v>-6203700.3399999999</v>
      </c>
      <c r="S55" s="66"/>
      <c r="T55" s="66">
        <f>'BPM 10.31.17'!S25</f>
        <v>-7000</v>
      </c>
      <c r="U55" s="66"/>
      <c r="V55" s="66">
        <f>'DEP 10.31.17'!S23</f>
        <v>-448708.12</v>
      </c>
      <c r="W55" s="66"/>
      <c r="X55" s="66">
        <v>0</v>
      </c>
      <c r="Y55" s="66"/>
      <c r="Z55" s="66">
        <f>'BSC 10.31.17'!F35+'BSC 10.31.17'!F36</f>
        <v>-2317147.6</v>
      </c>
      <c r="AA55" s="66"/>
      <c r="AB55" s="66">
        <f>'Oliari Co 10.31.17'!F21</f>
        <v>-1258823.8899999999</v>
      </c>
      <c r="AC55" s="66"/>
      <c r="AD55" s="66">
        <f>'722 Bedford St 10.31.17'!F9+'722 Bedford St 10.31.17'!F10+'722 Bedford St 10.31.17'!F11+'722 Bedford St 10.31.17'!F12</f>
        <v>-778030.44</v>
      </c>
      <c r="AE55" s="66"/>
      <c r="AF55" s="66">
        <f>SUM(R55:AD55)</f>
        <v>-11013410.390000001</v>
      </c>
      <c r="AG55" s="54" t="s">
        <v>529</v>
      </c>
      <c r="AH55" s="68">
        <f t="shared" si="17"/>
        <v>-13035029.9</v>
      </c>
      <c r="AI55" s="68"/>
      <c r="AJ55" s="68">
        <f t="shared" si="23"/>
        <v>-11013410.390000001</v>
      </c>
      <c r="AK55" s="68"/>
      <c r="AL55" s="68">
        <f t="shared" si="18"/>
        <v>-2021619.5099999998</v>
      </c>
      <c r="AM55" s="63"/>
      <c r="AN55" s="59">
        <f t="shared" si="19"/>
        <v>1.1835598092154631</v>
      </c>
      <c r="AO55" s="59"/>
      <c r="AP55" s="60">
        <f t="shared" si="20"/>
        <v>0.18355980921546311</v>
      </c>
    </row>
    <row r="56" spans="1:43" s="54" customFormat="1" ht="24.95" customHeight="1" x14ac:dyDescent="0.2">
      <c r="A56" s="73" t="s">
        <v>338</v>
      </c>
      <c r="B56" s="142">
        <f>SUM(B44:B55)</f>
        <v>9732049.0800000019</v>
      </c>
      <c r="C56" s="56"/>
      <c r="D56" s="142">
        <f>SUM(D44:D55)</f>
        <v>16907.93</v>
      </c>
      <c r="E56" s="56"/>
      <c r="F56" s="142">
        <f>SUM(F44:F55)</f>
        <v>467823.13000000012</v>
      </c>
      <c r="G56" s="56"/>
      <c r="H56" s="142">
        <f>SUM(H44:H55)</f>
        <v>0</v>
      </c>
      <c r="I56" s="56"/>
      <c r="J56" s="142">
        <f>SUM(J44:J55)</f>
        <v>1519758.9399999995</v>
      </c>
      <c r="K56" s="56"/>
      <c r="L56" s="142">
        <f>SUM(L44:L55)</f>
        <v>3383159.1799999997</v>
      </c>
      <c r="M56" s="56"/>
      <c r="N56" s="142">
        <f>SUM(N44:N55)</f>
        <v>8037603.879999998</v>
      </c>
      <c r="O56" s="56"/>
      <c r="P56" s="56">
        <f>SUM(P44:P55)</f>
        <v>23157302.140000001</v>
      </c>
      <c r="Q56" s="75" t="s">
        <v>338</v>
      </c>
      <c r="R56" s="56">
        <f>SUM(R44:R55)</f>
        <v>10203955.220000001</v>
      </c>
      <c r="S56" s="56"/>
      <c r="T56" s="56">
        <f>SUM(T44:T55)</f>
        <v>21814.959999999999</v>
      </c>
      <c r="U56" s="56"/>
      <c r="V56" s="56">
        <f>SUM(V44:V55)</f>
        <v>569069.75</v>
      </c>
      <c r="W56" s="56"/>
      <c r="X56" s="56">
        <f>SUM(X44:X55)</f>
        <v>0</v>
      </c>
      <c r="Y56" s="56"/>
      <c r="Z56" s="56">
        <f>SUM(Z44:Z55)</f>
        <v>1599254.4799999995</v>
      </c>
      <c r="AA56" s="56"/>
      <c r="AB56" s="56">
        <f>SUM(AB44:AB55)</f>
        <v>3553427.99</v>
      </c>
      <c r="AC56" s="56"/>
      <c r="AD56" s="56">
        <f>SUM(AD44:AD55)</f>
        <v>7745837.6199999992</v>
      </c>
      <c r="AE56" s="56"/>
      <c r="AF56" s="56">
        <f>SUM(AF44:AF55)</f>
        <v>23693360.019999996</v>
      </c>
      <c r="AG56" s="73" t="s">
        <v>338</v>
      </c>
      <c r="AH56" s="77">
        <f>SUM(AH44:AH55)</f>
        <v>23157302.140000001</v>
      </c>
      <c r="AI56" s="77"/>
      <c r="AJ56" s="77">
        <f>SUM(AJ44:AJ55)</f>
        <v>23693360.019999996</v>
      </c>
      <c r="AK56" s="77"/>
      <c r="AL56" s="77">
        <f>SUM(AL44:AL55)</f>
        <v>-536057.88000000338</v>
      </c>
      <c r="AM56" s="77"/>
      <c r="AN56" s="59">
        <f t="shared" si="19"/>
        <v>0.97737518530307654</v>
      </c>
      <c r="AO56" s="59"/>
      <c r="AP56" s="60">
        <f t="shared" si="20"/>
        <v>-2.2624814696923456E-2</v>
      </c>
    </row>
    <row r="57" spans="1:43" s="54" customFormat="1" ht="24.95" customHeight="1" x14ac:dyDescent="0.2">
      <c r="A57" s="73"/>
      <c r="B57" s="142"/>
      <c r="C57" s="56"/>
      <c r="D57" s="142"/>
      <c r="E57" s="56"/>
      <c r="F57" s="142"/>
      <c r="G57" s="56"/>
      <c r="H57" s="142"/>
      <c r="I57" s="56"/>
      <c r="J57" s="142"/>
      <c r="K57" s="56"/>
      <c r="L57" s="142"/>
      <c r="M57" s="56"/>
      <c r="N57" s="142"/>
      <c r="O57" s="56"/>
      <c r="P57" s="56"/>
      <c r="Q57" s="75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2"/>
      <c r="AG57" s="73"/>
      <c r="AH57" s="77"/>
      <c r="AI57" s="77"/>
      <c r="AJ57" s="77"/>
      <c r="AK57" s="77"/>
      <c r="AL57" s="77"/>
      <c r="AM57" s="77"/>
      <c r="AN57" s="59"/>
      <c r="AO57" s="71"/>
      <c r="AP57" s="60"/>
    </row>
    <row r="58" spans="1:43" s="54" customFormat="1" ht="24.95" customHeight="1" x14ac:dyDescent="0.2">
      <c r="A58" s="54" t="s">
        <v>412</v>
      </c>
      <c r="B58" s="142">
        <f>CNT!S61+CNT!S69</f>
        <v>2666.5599999999977</v>
      </c>
      <c r="C58" s="56"/>
      <c r="D58" s="142">
        <v>0</v>
      </c>
      <c r="E58" s="56"/>
      <c r="F58" s="142">
        <v>0</v>
      </c>
      <c r="G58" s="56"/>
      <c r="H58" s="142">
        <v>0</v>
      </c>
      <c r="I58" s="56"/>
      <c r="J58" s="142">
        <v>0</v>
      </c>
      <c r="K58" s="56"/>
      <c r="L58" s="142">
        <v>0</v>
      </c>
      <c r="M58" s="56"/>
      <c r="N58" s="142">
        <v>0</v>
      </c>
      <c r="O58" s="56"/>
      <c r="P58" s="56">
        <f>SUM(B58:N58)</f>
        <v>2666.5599999999977</v>
      </c>
      <c r="Q58" s="54" t="s">
        <v>412</v>
      </c>
      <c r="R58" s="56">
        <f>'CNT 10.31.17'!S49+'CNT 10.31.17'!S60+'CNT 10.31.17'!S57</f>
        <v>5999.8600000000151</v>
      </c>
      <c r="S58" s="56"/>
      <c r="T58" s="56">
        <v>0</v>
      </c>
      <c r="U58" s="56"/>
      <c r="V58" s="56">
        <v>0</v>
      </c>
      <c r="W58" s="56"/>
      <c r="X58" s="56">
        <v>0</v>
      </c>
      <c r="Y58" s="56"/>
      <c r="Z58" s="56">
        <v>0</v>
      </c>
      <c r="AA58" s="56"/>
      <c r="AB58" s="56">
        <v>0</v>
      </c>
      <c r="AC58" s="56"/>
      <c r="AD58" s="56">
        <v>0</v>
      </c>
      <c r="AE58" s="56"/>
      <c r="AF58" s="56">
        <f>SUM(R58:AD58)</f>
        <v>5999.8600000000151</v>
      </c>
      <c r="AG58" s="54" t="s">
        <v>412</v>
      </c>
      <c r="AH58" s="77">
        <f>P58</f>
        <v>2666.5599999999977</v>
      </c>
      <c r="AI58" s="63"/>
      <c r="AJ58" s="63">
        <f>AF58</f>
        <v>5999.8600000000151</v>
      </c>
      <c r="AK58" s="63"/>
      <c r="AL58" s="77">
        <f>AH58-AJ58</f>
        <v>-3333.3000000000175</v>
      </c>
      <c r="AM58" s="63"/>
      <c r="AN58" s="59">
        <f t="shared" si="19"/>
        <v>0.444437036864192</v>
      </c>
      <c r="AO58" s="59"/>
      <c r="AP58" s="60">
        <f t="shared" si="20"/>
        <v>-0.555562963135808</v>
      </c>
    </row>
    <row r="59" spans="1:43" s="54" customFormat="1" ht="24.95" customHeight="1" x14ac:dyDescent="0.2">
      <c r="B59" s="142"/>
      <c r="C59" s="56"/>
      <c r="D59" s="142"/>
      <c r="E59" s="56"/>
      <c r="F59" s="142"/>
      <c r="G59" s="56"/>
      <c r="H59" s="142"/>
      <c r="I59" s="56"/>
      <c r="J59" s="142"/>
      <c r="K59" s="56"/>
      <c r="L59" s="142"/>
      <c r="M59" s="56"/>
      <c r="N59" s="142"/>
      <c r="O59" s="56"/>
      <c r="P59" s="56"/>
      <c r="Q59" s="51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H59" s="77"/>
      <c r="AI59" s="63"/>
      <c r="AJ59" s="63"/>
      <c r="AK59" s="63"/>
      <c r="AL59" s="63"/>
      <c r="AM59" s="63"/>
      <c r="AN59" s="59"/>
      <c r="AO59" s="59"/>
      <c r="AP59" s="60"/>
    </row>
    <row r="60" spans="1:43" s="54" customFormat="1" ht="24.95" customHeight="1" thickBot="1" x14ac:dyDescent="0.25">
      <c r="A60" s="50" t="s">
        <v>292</v>
      </c>
      <c r="B60" s="146">
        <f>B58+B56+B41</f>
        <v>38302202.300000057</v>
      </c>
      <c r="C60" s="79"/>
      <c r="D60" s="146">
        <f>SUM(D56,D41,D58)</f>
        <v>4602770.9899999993</v>
      </c>
      <c r="E60" s="79"/>
      <c r="F60" s="146">
        <f>SUM(F56,F41,F58)</f>
        <v>5366978.07</v>
      </c>
      <c r="G60" s="79"/>
      <c r="H60" s="146">
        <f>SUM(H56,H41,H58)</f>
        <v>704352.0199999999</v>
      </c>
      <c r="I60" s="79"/>
      <c r="J60" s="146">
        <f>SUM(J56,J41,J58)</f>
        <v>2022212.1699999995</v>
      </c>
      <c r="K60" s="79"/>
      <c r="L60" s="146">
        <f>SUM(L56,L41,L58)</f>
        <v>5215473.6899999995</v>
      </c>
      <c r="M60" s="79"/>
      <c r="N60" s="146">
        <f>SUM(N56,N41,N58)</f>
        <v>8252511.7399999984</v>
      </c>
      <c r="O60" s="79"/>
      <c r="P60" s="79">
        <f>SUM(P56,P41,P58)</f>
        <v>64466500.980000064</v>
      </c>
      <c r="Q60" s="53" t="s">
        <v>292</v>
      </c>
      <c r="R60" s="79">
        <f>SUM(R56,R41,R58)</f>
        <v>32698959.460000008</v>
      </c>
      <c r="S60" s="79"/>
      <c r="T60" s="79">
        <f>SUM(T56,T41,T58)</f>
        <v>2867253.09</v>
      </c>
      <c r="U60" s="79"/>
      <c r="V60" s="79">
        <f>SUM(V56,V41,V58)</f>
        <v>3941017.23</v>
      </c>
      <c r="W60" s="79"/>
      <c r="X60" s="79">
        <f>SUM(X56,X41,X58)</f>
        <v>1922633.5099999998</v>
      </c>
      <c r="Y60" s="79"/>
      <c r="Z60" s="79">
        <f>SUM(Z56,Z41,Z58)</f>
        <v>2062146.8799999994</v>
      </c>
      <c r="AA60" s="79"/>
      <c r="AB60" s="79">
        <f>SUM(AB56,AB41,AB58)</f>
        <v>5345853.6900000004</v>
      </c>
      <c r="AC60" s="79"/>
      <c r="AD60" s="79">
        <f>SUM(AD56,AD41,AD58)</f>
        <v>8021368.0699999994</v>
      </c>
      <c r="AE60" s="79"/>
      <c r="AF60" s="79">
        <f>SUM(AF56,AF41,AF58)</f>
        <v>56859231.930000022</v>
      </c>
      <c r="AG60" s="50" t="s">
        <v>292</v>
      </c>
      <c r="AH60" s="81">
        <f>SUM(AH56,AH41,AH58)</f>
        <v>64466500.980000064</v>
      </c>
      <c r="AI60" s="81"/>
      <c r="AJ60" s="81">
        <f>SUM(AJ56,AJ41,AJ58)</f>
        <v>56859231.930000022</v>
      </c>
      <c r="AK60" s="81"/>
      <c r="AL60" s="81">
        <f>SUM(AL56,AL41,AL58)</f>
        <v>7607269.0500000212</v>
      </c>
      <c r="AM60" s="82"/>
      <c r="AN60" s="59">
        <f t="shared" si="19"/>
        <v>1.1337912734974231</v>
      </c>
      <c r="AO60" s="59"/>
      <c r="AP60" s="60">
        <f t="shared" si="20"/>
        <v>0.13379127349742315</v>
      </c>
      <c r="AQ60" s="77"/>
    </row>
    <row r="61" spans="1:43" s="54" customFormat="1" ht="24.95" customHeight="1" thickTop="1" x14ac:dyDescent="0.2">
      <c r="B61" s="142"/>
      <c r="C61" s="56"/>
      <c r="D61" s="142"/>
      <c r="E61" s="56"/>
      <c r="F61" s="142"/>
      <c r="G61" s="56"/>
      <c r="H61" s="141"/>
      <c r="I61" s="51"/>
      <c r="J61" s="141"/>
      <c r="K61" s="51"/>
      <c r="L61" s="141"/>
      <c r="M61" s="51"/>
      <c r="N61" s="141"/>
      <c r="O61" s="51"/>
      <c r="P61" s="52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P61" s="83"/>
    </row>
    <row r="62" spans="1:43" s="54" customFormat="1" ht="24.95" customHeight="1" x14ac:dyDescent="0.2">
      <c r="A62" s="50" t="s">
        <v>105</v>
      </c>
      <c r="B62" s="142"/>
      <c r="C62" s="56"/>
      <c r="D62" s="142"/>
      <c r="E62" s="56"/>
      <c r="F62" s="142"/>
      <c r="G62" s="56"/>
      <c r="H62" s="141"/>
      <c r="I62" s="51"/>
      <c r="J62" s="141"/>
      <c r="K62" s="51"/>
      <c r="L62" s="141"/>
      <c r="M62" s="51"/>
      <c r="N62" s="141"/>
      <c r="O62" s="51"/>
      <c r="P62" s="52"/>
      <c r="Q62" s="53" t="s">
        <v>105</v>
      </c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0" t="s">
        <v>105</v>
      </c>
      <c r="AP62" s="72"/>
    </row>
    <row r="63" spans="1:43" s="54" customFormat="1" ht="24.95" customHeight="1" x14ac:dyDescent="0.2">
      <c r="A63" s="50" t="s">
        <v>293</v>
      </c>
      <c r="B63" s="142"/>
      <c r="C63" s="56"/>
      <c r="D63" s="142"/>
      <c r="E63" s="56"/>
      <c r="F63" s="142"/>
      <c r="G63" s="56"/>
      <c r="H63" s="141"/>
      <c r="I63" s="51"/>
      <c r="J63" s="141"/>
      <c r="K63" s="51"/>
      <c r="L63" s="141"/>
      <c r="M63" s="51"/>
      <c r="N63" s="141"/>
      <c r="O63" s="51"/>
      <c r="P63" s="52"/>
      <c r="Q63" s="53" t="s">
        <v>293</v>
      </c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0" t="s">
        <v>293</v>
      </c>
      <c r="AP63" s="72"/>
    </row>
    <row r="64" spans="1:43" s="54" customFormat="1" ht="24.95" customHeight="1" x14ac:dyDescent="0.2">
      <c r="A64" s="54" t="s">
        <v>294</v>
      </c>
      <c r="B64" s="142">
        <f>CNT!S76</f>
        <v>1581347.48</v>
      </c>
      <c r="C64" s="56"/>
      <c r="D64" s="142">
        <v>0</v>
      </c>
      <c r="E64" s="56"/>
      <c r="F64" s="142">
        <v>0</v>
      </c>
      <c r="G64" s="56"/>
      <c r="H64" s="142">
        <v>0</v>
      </c>
      <c r="I64" s="56"/>
      <c r="J64" s="142">
        <v>0</v>
      </c>
      <c r="K64" s="56"/>
      <c r="L64" s="142">
        <v>0</v>
      </c>
      <c r="M64" s="56"/>
      <c r="N64" s="142">
        <v>0</v>
      </c>
      <c r="O64" s="56"/>
      <c r="P64" s="56">
        <f>SUM(B64:N64)</f>
        <v>1581347.48</v>
      </c>
      <c r="Q64" s="51" t="s">
        <v>294</v>
      </c>
      <c r="R64" s="56">
        <v>0</v>
      </c>
      <c r="S64" s="56"/>
      <c r="T64" s="56">
        <v>0</v>
      </c>
      <c r="U64" s="56"/>
      <c r="V64" s="56">
        <v>0</v>
      </c>
      <c r="W64" s="56"/>
      <c r="X64" s="56">
        <v>0</v>
      </c>
      <c r="Y64" s="56"/>
      <c r="Z64" s="56">
        <v>0</v>
      </c>
      <c r="AA64" s="56"/>
      <c r="AB64" s="56">
        <v>0</v>
      </c>
      <c r="AC64" s="56"/>
      <c r="AD64" s="56">
        <v>0</v>
      </c>
      <c r="AE64" s="56"/>
      <c r="AF64" s="56">
        <f>SUM(R64:AD64)</f>
        <v>0</v>
      </c>
      <c r="AG64" s="54" t="s">
        <v>294</v>
      </c>
      <c r="AH64" s="63">
        <f t="shared" ref="AH64:AH93" si="24">P64</f>
        <v>1581347.48</v>
      </c>
      <c r="AI64" s="63"/>
      <c r="AJ64" s="63">
        <f>AF64</f>
        <v>0</v>
      </c>
      <c r="AK64" s="63"/>
      <c r="AL64" s="63">
        <f t="shared" ref="AL64:AL93" si="25">AH64-AJ64</f>
        <v>1581347.48</v>
      </c>
      <c r="AM64" s="63"/>
      <c r="AN64" s="59">
        <v>0</v>
      </c>
      <c r="AO64" s="59"/>
      <c r="AP64" s="60">
        <v>0</v>
      </c>
    </row>
    <row r="65" spans="1:42" s="54" customFormat="1" ht="24.95" customHeight="1" x14ac:dyDescent="0.2">
      <c r="A65" s="54" t="s">
        <v>295</v>
      </c>
      <c r="B65" s="142">
        <f>CNT!S77</f>
        <v>4279098.4800000004</v>
      </c>
      <c r="C65" s="56"/>
      <c r="D65" s="142">
        <f>BPM!S37</f>
        <v>1701465.14</v>
      </c>
      <c r="E65" s="56"/>
      <c r="F65" s="142">
        <f>DEP!S31</f>
        <v>84.43</v>
      </c>
      <c r="G65" s="56"/>
      <c r="H65" s="142">
        <v>0</v>
      </c>
      <c r="I65" s="51"/>
      <c r="J65" s="142">
        <v>0</v>
      </c>
      <c r="K65" s="51"/>
      <c r="L65" s="142">
        <v>0</v>
      </c>
      <c r="M65" s="51"/>
      <c r="N65" s="142">
        <v>0</v>
      </c>
      <c r="O65" s="51"/>
      <c r="P65" s="56">
        <f t="shared" ref="P65:P93" si="26">SUM(B65:N65)</f>
        <v>5980648.0499999998</v>
      </c>
      <c r="Q65" s="51" t="s">
        <v>295</v>
      </c>
      <c r="R65" s="56">
        <f>SUM('CNT 10.31.17'!S68:S69)</f>
        <v>9603952.3300000001</v>
      </c>
      <c r="S65" s="56"/>
      <c r="T65" s="56">
        <f>'BPM 10.31.17'!S32</f>
        <v>700734.24</v>
      </c>
      <c r="U65" s="56"/>
      <c r="V65" s="56">
        <f>'DEP 10.31.17'!S29</f>
        <v>0</v>
      </c>
      <c r="W65" s="56"/>
      <c r="X65" s="56">
        <f>'CNT Lending 10.31.17'!F27</f>
        <v>1512.91</v>
      </c>
      <c r="Y65" s="56"/>
      <c r="Z65" s="56">
        <v>0</v>
      </c>
      <c r="AA65" s="56"/>
      <c r="AB65" s="56">
        <f>'Oliari Co 10.31.17'!F62</f>
        <v>2717.13</v>
      </c>
      <c r="AC65" s="56"/>
      <c r="AD65" s="56">
        <f>'722 Bedford St 10.31.17'!F25</f>
        <v>2935.15</v>
      </c>
      <c r="AE65" s="56"/>
      <c r="AF65" s="56">
        <f t="shared" ref="AF65:AF92" si="27">SUM(R65:AD65)</f>
        <v>10311851.760000002</v>
      </c>
      <c r="AG65" s="54" t="s">
        <v>295</v>
      </c>
      <c r="AH65" s="63">
        <f t="shared" si="24"/>
        <v>5980648.0499999998</v>
      </c>
      <c r="AI65" s="63"/>
      <c r="AJ65" s="63">
        <f t="shared" ref="AJ65:AJ93" si="28">AF65</f>
        <v>10311851.760000002</v>
      </c>
      <c r="AK65" s="63"/>
      <c r="AL65" s="63">
        <f t="shared" si="25"/>
        <v>-4331203.7100000018</v>
      </c>
      <c r="AM65" s="63"/>
      <c r="AN65" s="59">
        <f t="shared" ref="AN65:AN70" si="29">AH65/AJ65</f>
        <v>0.5799780863025128</v>
      </c>
      <c r="AO65" s="59"/>
      <c r="AP65" s="60">
        <f t="shared" ref="AP65:AP94" si="30">AN65-1</f>
        <v>-0.4200219136974872</v>
      </c>
    </row>
    <row r="66" spans="1:42" s="54" customFormat="1" ht="24.95" customHeight="1" x14ac:dyDescent="0.2">
      <c r="A66" s="54" t="s">
        <v>296</v>
      </c>
      <c r="B66" s="142">
        <v>0</v>
      </c>
      <c r="C66" s="56"/>
      <c r="D66" s="142">
        <v>0</v>
      </c>
      <c r="E66" s="56"/>
      <c r="F66" s="142">
        <v>0</v>
      </c>
      <c r="G66" s="56"/>
      <c r="H66" s="142">
        <v>0</v>
      </c>
      <c r="I66" s="56"/>
      <c r="J66" s="142">
        <f>BSC!F46+BSC!F47</f>
        <v>4750</v>
      </c>
      <c r="K66" s="56"/>
      <c r="L66" s="142">
        <v>0</v>
      </c>
      <c r="M66" s="56"/>
      <c r="N66" s="142">
        <v>0</v>
      </c>
      <c r="O66" s="56"/>
      <c r="P66" s="56">
        <f t="shared" si="26"/>
        <v>4750</v>
      </c>
      <c r="Q66" s="51" t="s">
        <v>296</v>
      </c>
      <c r="R66" s="56">
        <f>'CNT 10.31.17'!S71</f>
        <v>18068.73</v>
      </c>
      <c r="S66" s="56"/>
      <c r="T66" s="56">
        <v>0</v>
      </c>
      <c r="U66" s="56"/>
      <c r="V66" s="56">
        <f>'DEP 10.31.17'!S31</f>
        <v>0</v>
      </c>
      <c r="W66" s="56"/>
      <c r="X66" s="56">
        <v>0</v>
      </c>
      <c r="Y66" s="56"/>
      <c r="Z66" s="56">
        <f>'BSC 10.31.17'!F44+'BSC 10.31.17'!F45</f>
        <v>23514.09</v>
      </c>
      <c r="AA66" s="56"/>
      <c r="AB66" s="56">
        <v>0</v>
      </c>
      <c r="AC66" s="56"/>
      <c r="AD66" s="56">
        <v>0</v>
      </c>
      <c r="AE66" s="56"/>
      <c r="AF66" s="56">
        <f t="shared" si="27"/>
        <v>41582.82</v>
      </c>
      <c r="AG66" s="54" t="s">
        <v>296</v>
      </c>
      <c r="AH66" s="63">
        <f t="shared" si="24"/>
        <v>4750</v>
      </c>
      <c r="AI66" s="63"/>
      <c r="AJ66" s="63">
        <f t="shared" si="28"/>
        <v>41582.82</v>
      </c>
      <c r="AK66" s="63"/>
      <c r="AL66" s="63">
        <f t="shared" si="25"/>
        <v>-36832.82</v>
      </c>
      <c r="AM66" s="63"/>
      <c r="AN66" s="59">
        <f t="shared" si="29"/>
        <v>0.11422986704605412</v>
      </c>
      <c r="AO66" s="59"/>
      <c r="AP66" s="60">
        <f t="shared" si="30"/>
        <v>-0.88577013295394591</v>
      </c>
    </row>
    <row r="67" spans="1:42" s="54" customFormat="1" ht="24.95" customHeight="1" x14ac:dyDescent="0.2">
      <c r="A67" s="54" t="s">
        <v>297</v>
      </c>
      <c r="B67" s="142">
        <v>0</v>
      </c>
      <c r="C67" s="56"/>
      <c r="D67" s="142">
        <f>BPM!S38</f>
        <v>123.67</v>
      </c>
      <c r="E67" s="56"/>
      <c r="F67" s="142">
        <v>0</v>
      </c>
      <c r="G67" s="56"/>
      <c r="H67" s="142">
        <v>0</v>
      </c>
      <c r="I67" s="56"/>
      <c r="J67" s="142">
        <v>0</v>
      </c>
      <c r="K67" s="56"/>
      <c r="L67" s="142">
        <v>0</v>
      </c>
      <c r="M67" s="56"/>
      <c r="N67" s="142">
        <v>0</v>
      </c>
      <c r="O67" s="56"/>
      <c r="P67" s="56">
        <f t="shared" si="26"/>
        <v>123.67</v>
      </c>
      <c r="Q67" s="51" t="s">
        <v>297</v>
      </c>
      <c r="R67" s="56">
        <v>0</v>
      </c>
      <c r="S67" s="56"/>
      <c r="T67" s="56">
        <f>'BPM 10.31.17'!S33</f>
        <v>134.07</v>
      </c>
      <c r="U67" s="56"/>
      <c r="V67" s="56">
        <v>0</v>
      </c>
      <c r="W67" s="56"/>
      <c r="X67" s="56">
        <v>0</v>
      </c>
      <c r="Y67" s="56"/>
      <c r="Z67" s="56">
        <v>0</v>
      </c>
      <c r="AA67" s="56"/>
      <c r="AB67" s="56">
        <v>0</v>
      </c>
      <c r="AC67" s="56"/>
      <c r="AD67" s="56">
        <v>0</v>
      </c>
      <c r="AE67" s="56"/>
      <c r="AF67" s="56">
        <f t="shared" si="27"/>
        <v>134.07</v>
      </c>
      <c r="AG67" s="54" t="s">
        <v>297</v>
      </c>
      <c r="AH67" s="63">
        <f t="shared" si="24"/>
        <v>123.67</v>
      </c>
      <c r="AI67" s="63"/>
      <c r="AJ67" s="63">
        <f t="shared" si="28"/>
        <v>134.07</v>
      </c>
      <c r="AK67" s="63"/>
      <c r="AL67" s="63">
        <f t="shared" si="25"/>
        <v>-10.399999999999991</v>
      </c>
      <c r="AM67" s="63"/>
      <c r="AN67" s="59">
        <f t="shared" si="29"/>
        <v>0.92242858208398604</v>
      </c>
      <c r="AO67" s="59"/>
      <c r="AP67" s="60">
        <f t="shared" si="30"/>
        <v>-7.7571417916013963E-2</v>
      </c>
    </row>
    <row r="68" spans="1:42" s="54" customFormat="1" ht="24.95" customHeight="1" x14ac:dyDescent="0.2">
      <c r="A68" s="54" t="s">
        <v>298</v>
      </c>
      <c r="B68" s="142">
        <f>CNT!S78</f>
        <v>216.55</v>
      </c>
      <c r="C68" s="56"/>
      <c r="D68" s="142">
        <v>0</v>
      </c>
      <c r="E68" s="56"/>
      <c r="F68" s="142">
        <f>DEP!S32</f>
        <v>5.8999999999999995</v>
      </c>
      <c r="G68" s="56"/>
      <c r="H68" s="142">
        <v>0</v>
      </c>
      <c r="I68" s="51"/>
      <c r="J68" s="142">
        <v>0</v>
      </c>
      <c r="K68" s="51"/>
      <c r="L68" s="142">
        <v>0</v>
      </c>
      <c r="M68" s="51"/>
      <c r="N68" s="142">
        <v>0</v>
      </c>
      <c r="O68" s="51"/>
      <c r="P68" s="56">
        <f t="shared" si="26"/>
        <v>222.45000000000002</v>
      </c>
      <c r="Q68" s="51" t="s">
        <v>298</v>
      </c>
      <c r="R68" s="56">
        <f>'CNT 10.31.17'!S70</f>
        <v>-162.68</v>
      </c>
      <c r="S68" s="56"/>
      <c r="T68" s="56">
        <v>0</v>
      </c>
      <c r="U68" s="56"/>
      <c r="V68" s="56">
        <f>'DEP 10.31.17'!S30</f>
        <v>57.54</v>
      </c>
      <c r="W68" s="56"/>
      <c r="X68" s="56">
        <v>0</v>
      </c>
      <c r="Y68" s="56"/>
      <c r="Z68" s="56">
        <v>0</v>
      </c>
      <c r="AA68" s="56"/>
      <c r="AB68" s="56">
        <v>0</v>
      </c>
      <c r="AC68" s="56"/>
      <c r="AD68" s="56">
        <v>0</v>
      </c>
      <c r="AE68" s="56"/>
      <c r="AF68" s="56">
        <f t="shared" si="27"/>
        <v>-105.14000000000001</v>
      </c>
      <c r="AG68" s="54" t="s">
        <v>298</v>
      </c>
      <c r="AH68" s="63">
        <f t="shared" si="24"/>
        <v>222.45000000000002</v>
      </c>
      <c r="AI68" s="63"/>
      <c r="AJ68" s="63">
        <f t="shared" si="28"/>
        <v>-105.14000000000001</v>
      </c>
      <c r="AK68" s="63"/>
      <c r="AL68" s="63">
        <f t="shared" si="25"/>
        <v>327.59000000000003</v>
      </c>
      <c r="AM68" s="63"/>
      <c r="AN68" s="59">
        <f t="shared" si="29"/>
        <v>-2.1157504280007609</v>
      </c>
      <c r="AO68" s="59"/>
      <c r="AP68" s="60">
        <f t="shared" si="30"/>
        <v>-3.1157504280007609</v>
      </c>
    </row>
    <row r="69" spans="1:42" s="54" customFormat="1" ht="24.95" customHeight="1" x14ac:dyDescent="0.2">
      <c r="A69" s="54" t="s">
        <v>299</v>
      </c>
      <c r="B69" s="142">
        <f>CNT!S79</f>
        <v>829.6</v>
      </c>
      <c r="C69" s="56"/>
      <c r="D69" s="142">
        <v>0</v>
      </c>
      <c r="E69" s="56"/>
      <c r="F69" s="142">
        <v>0</v>
      </c>
      <c r="G69" s="56"/>
      <c r="H69" s="142">
        <v>0</v>
      </c>
      <c r="I69" s="51"/>
      <c r="J69" s="142">
        <f>BSC!F48</f>
        <v>336.86</v>
      </c>
      <c r="K69" s="51"/>
      <c r="L69" s="142">
        <v>0</v>
      </c>
      <c r="M69" s="51"/>
      <c r="N69" s="142">
        <v>0</v>
      </c>
      <c r="O69" s="51"/>
      <c r="P69" s="56">
        <f t="shared" si="26"/>
        <v>1166.46</v>
      </c>
      <c r="Q69" s="51" t="s">
        <v>299</v>
      </c>
      <c r="R69" s="56">
        <f>'CNT 10.31.17'!S72</f>
        <v>1726.15</v>
      </c>
      <c r="S69" s="56"/>
      <c r="T69" s="56">
        <v>0</v>
      </c>
      <c r="U69" s="56"/>
      <c r="V69" s="56">
        <f>'DEP 10.31.17'!S32</f>
        <v>-876.99</v>
      </c>
      <c r="W69" s="56"/>
      <c r="X69" s="56">
        <v>0</v>
      </c>
      <c r="Y69" s="56"/>
      <c r="Z69" s="56">
        <f>'BSC 10.31.17'!F46</f>
        <v>136.91999999999999</v>
      </c>
      <c r="AA69" s="56"/>
      <c r="AB69" s="56">
        <v>0</v>
      </c>
      <c r="AC69" s="56"/>
      <c r="AD69" s="56">
        <v>0</v>
      </c>
      <c r="AE69" s="56"/>
      <c r="AF69" s="56">
        <f t="shared" si="27"/>
        <v>986.08</v>
      </c>
      <c r="AG69" s="54" t="s">
        <v>299</v>
      </c>
      <c r="AH69" s="63">
        <f t="shared" si="24"/>
        <v>1166.46</v>
      </c>
      <c r="AI69" s="63"/>
      <c r="AJ69" s="63">
        <f t="shared" si="28"/>
        <v>986.08</v>
      </c>
      <c r="AK69" s="63"/>
      <c r="AL69" s="63">
        <f t="shared" si="25"/>
        <v>180.38</v>
      </c>
      <c r="AM69" s="63"/>
      <c r="AN69" s="59">
        <f t="shared" si="29"/>
        <v>1.1829263345773162</v>
      </c>
      <c r="AO69" s="59"/>
      <c r="AP69" s="60">
        <f t="shared" si="30"/>
        <v>0.18292633457731622</v>
      </c>
    </row>
    <row r="70" spans="1:42" s="54" customFormat="1" ht="24.95" customHeight="1" x14ac:dyDescent="0.2">
      <c r="A70" s="54" t="s">
        <v>396</v>
      </c>
      <c r="B70" s="142">
        <f>CNT!S99+CNT!S100+CNT!S101+CNT!S80</f>
        <v>572619.72</v>
      </c>
      <c r="C70" s="56"/>
      <c r="D70" s="142">
        <v>0</v>
      </c>
      <c r="E70" s="56"/>
      <c r="F70" s="142">
        <v>0</v>
      </c>
      <c r="G70" s="56"/>
      <c r="H70" s="142">
        <v>0</v>
      </c>
      <c r="I70" s="51"/>
      <c r="J70" s="142">
        <f>BSC!F53</f>
        <v>23117.08</v>
      </c>
      <c r="K70" s="51"/>
      <c r="L70" s="142">
        <v>0</v>
      </c>
      <c r="M70" s="51"/>
      <c r="N70" s="142">
        <v>0</v>
      </c>
      <c r="O70" s="51"/>
      <c r="P70" s="56">
        <f t="shared" si="26"/>
        <v>595736.79999999993</v>
      </c>
      <c r="Q70" s="51" t="s">
        <v>396</v>
      </c>
      <c r="R70" s="56">
        <v>0</v>
      </c>
      <c r="S70" s="56"/>
      <c r="T70" s="56">
        <v>0</v>
      </c>
      <c r="U70" s="56"/>
      <c r="V70" s="56">
        <v>0</v>
      </c>
      <c r="W70" s="56"/>
      <c r="X70" s="56">
        <v>0</v>
      </c>
      <c r="Y70" s="56"/>
      <c r="Z70" s="56">
        <f>'BSC 10.31.17'!F50</f>
        <v>6349.9</v>
      </c>
      <c r="AA70" s="56"/>
      <c r="AB70" s="56">
        <f>'Oliari Co 10.31.17'!F64</f>
        <v>0</v>
      </c>
      <c r="AC70" s="56"/>
      <c r="AD70" s="56">
        <f>'Oliari Co 10.31.17'!H64</f>
        <v>0</v>
      </c>
      <c r="AE70" s="56"/>
      <c r="AF70" s="56">
        <f t="shared" si="27"/>
        <v>6349.9</v>
      </c>
      <c r="AG70" s="54" t="s">
        <v>396</v>
      </c>
      <c r="AH70" s="63">
        <f t="shared" si="24"/>
        <v>595736.79999999993</v>
      </c>
      <c r="AI70" s="63"/>
      <c r="AJ70" s="63">
        <f t="shared" si="28"/>
        <v>6349.9</v>
      </c>
      <c r="AK70" s="63"/>
      <c r="AL70" s="63">
        <f t="shared" si="25"/>
        <v>589386.89999999991</v>
      </c>
      <c r="AM70" s="63"/>
      <c r="AN70" s="59">
        <f t="shared" si="29"/>
        <v>93.818296351123635</v>
      </c>
      <c r="AO70" s="59"/>
      <c r="AP70" s="60">
        <f t="shared" si="30"/>
        <v>92.818296351123635</v>
      </c>
    </row>
    <row r="71" spans="1:42" s="54" customFormat="1" ht="24.95" customHeight="1" x14ac:dyDescent="0.2">
      <c r="A71" s="54" t="s">
        <v>300</v>
      </c>
      <c r="B71" s="142">
        <f>CNT!S81</f>
        <v>9623928.1600000001</v>
      </c>
      <c r="C71" s="56"/>
      <c r="D71" s="142">
        <v>0</v>
      </c>
      <c r="E71" s="56"/>
      <c r="F71" s="142">
        <f>DEP!S33</f>
        <v>166426.34</v>
      </c>
      <c r="G71" s="56"/>
      <c r="H71" s="142">
        <f>Lending!F36</f>
        <v>7969.41</v>
      </c>
      <c r="I71" s="51"/>
      <c r="J71" s="142">
        <f>BSC!F45</f>
        <v>0</v>
      </c>
      <c r="K71" s="51"/>
      <c r="L71" s="142">
        <v>0</v>
      </c>
      <c r="M71" s="51"/>
      <c r="N71" s="142">
        <v>0</v>
      </c>
      <c r="O71" s="51"/>
      <c r="P71" s="56">
        <f t="shared" si="26"/>
        <v>9798323.9100000001</v>
      </c>
      <c r="Q71" s="51" t="s">
        <v>300</v>
      </c>
      <c r="R71" s="56">
        <f>'CNT 10.31.17'!S73</f>
        <v>870165.09</v>
      </c>
      <c r="S71" s="56"/>
      <c r="T71" s="56">
        <v>0</v>
      </c>
      <c r="U71" s="56"/>
      <c r="V71" s="56">
        <f>'DEP 10.31.17'!S33</f>
        <v>80</v>
      </c>
      <c r="W71" s="56"/>
      <c r="X71" s="56">
        <f>'CNT Lending 10.31.17'!F32</f>
        <v>7472.03</v>
      </c>
      <c r="Y71" s="56"/>
      <c r="Z71" s="56">
        <f>'BSC 10.31.17'!F43</f>
        <v>4136.75</v>
      </c>
      <c r="AA71" s="56"/>
      <c r="AB71" s="56">
        <v>0</v>
      </c>
      <c r="AC71" s="56"/>
      <c r="AD71" s="56">
        <v>0</v>
      </c>
      <c r="AE71" s="56"/>
      <c r="AF71" s="56">
        <f t="shared" si="27"/>
        <v>881853.87</v>
      </c>
      <c r="AG71" s="54" t="s">
        <v>300</v>
      </c>
      <c r="AH71" s="63">
        <f t="shared" si="24"/>
        <v>9798323.9100000001</v>
      </c>
      <c r="AI71" s="63"/>
      <c r="AJ71" s="63">
        <f t="shared" si="28"/>
        <v>881853.87</v>
      </c>
      <c r="AK71" s="63"/>
      <c r="AL71" s="63">
        <f t="shared" si="25"/>
        <v>8916470.040000001</v>
      </c>
      <c r="AM71" s="63"/>
      <c r="AN71" s="59">
        <f t="shared" ref="AN71:AN78" si="31">AH71/AJ71</f>
        <v>11.111051664376095</v>
      </c>
      <c r="AO71" s="59"/>
      <c r="AP71" s="60">
        <f t="shared" si="30"/>
        <v>10.111051664376095</v>
      </c>
    </row>
    <row r="72" spans="1:42" s="54" customFormat="1" ht="24.95" customHeight="1" x14ac:dyDescent="0.2">
      <c r="A72" s="54" t="s">
        <v>568</v>
      </c>
      <c r="B72" s="142">
        <f>CNT!S82</f>
        <v>9140.2999999999993</v>
      </c>
      <c r="C72" s="56"/>
      <c r="D72" s="142">
        <v>0</v>
      </c>
      <c r="E72" s="56"/>
      <c r="F72" s="142">
        <v>0</v>
      </c>
      <c r="G72" s="56"/>
      <c r="H72" s="142">
        <v>0</v>
      </c>
      <c r="I72" s="51"/>
      <c r="J72" s="142">
        <v>0</v>
      </c>
      <c r="K72" s="51"/>
      <c r="L72" s="142">
        <v>0</v>
      </c>
      <c r="M72" s="51"/>
      <c r="N72" s="142">
        <v>0</v>
      </c>
      <c r="O72" s="51"/>
      <c r="P72" s="56">
        <f t="shared" si="26"/>
        <v>9140.2999999999993</v>
      </c>
      <c r="Q72" s="54" t="s">
        <v>568</v>
      </c>
      <c r="R72" s="56">
        <f>'CNT 10.31.17'!S74</f>
        <v>9349.3799999999992</v>
      </c>
      <c r="S72" s="56"/>
      <c r="T72" s="56">
        <v>0</v>
      </c>
      <c r="U72" s="56"/>
      <c r="V72" s="56">
        <v>0</v>
      </c>
      <c r="W72" s="56"/>
      <c r="X72" s="56">
        <v>0</v>
      </c>
      <c r="Y72" s="56"/>
      <c r="Z72" s="56">
        <v>0</v>
      </c>
      <c r="AA72" s="56"/>
      <c r="AB72" s="56">
        <v>0</v>
      </c>
      <c r="AC72" s="56"/>
      <c r="AD72" s="56">
        <v>0</v>
      </c>
      <c r="AE72" s="56"/>
      <c r="AF72" s="56">
        <f t="shared" si="27"/>
        <v>9349.3799999999992</v>
      </c>
      <c r="AG72" s="54" t="s">
        <v>568</v>
      </c>
      <c r="AH72" s="63">
        <f t="shared" si="24"/>
        <v>9140.2999999999993</v>
      </c>
      <c r="AI72" s="63"/>
      <c r="AJ72" s="63">
        <f t="shared" si="28"/>
        <v>9349.3799999999992</v>
      </c>
      <c r="AK72" s="63"/>
      <c r="AL72" s="63">
        <f t="shared" si="25"/>
        <v>-209.07999999999993</v>
      </c>
      <c r="AM72" s="63"/>
      <c r="AN72" s="59">
        <f t="shared" si="31"/>
        <v>0.97763701978099082</v>
      </c>
      <c r="AO72" s="59"/>
      <c r="AP72" s="60">
        <f t="shared" si="30"/>
        <v>-2.2362980219009176E-2</v>
      </c>
    </row>
    <row r="73" spans="1:42" s="54" customFormat="1" ht="24.95" customHeight="1" x14ac:dyDescent="0.2">
      <c r="A73" s="54" t="s">
        <v>569</v>
      </c>
      <c r="B73" s="142">
        <f>CNT!S83</f>
        <v>193121.76</v>
      </c>
      <c r="C73" s="56"/>
      <c r="D73" s="142">
        <f>BPM!S39</f>
        <v>3187.5</v>
      </c>
      <c r="E73" s="56"/>
      <c r="F73" s="142">
        <v>0</v>
      </c>
      <c r="G73" s="56"/>
      <c r="H73" s="142">
        <f>Lending!F32</f>
        <v>0</v>
      </c>
      <c r="I73" s="51"/>
      <c r="J73" s="142">
        <v>0</v>
      </c>
      <c r="K73" s="51"/>
      <c r="L73" s="142">
        <f>'Oliari Co'!F60</f>
        <v>1240</v>
      </c>
      <c r="M73" s="51"/>
      <c r="N73" s="142">
        <v>0</v>
      </c>
      <c r="O73" s="51"/>
      <c r="P73" s="56">
        <f t="shared" si="26"/>
        <v>197549.26</v>
      </c>
      <c r="Q73" s="54" t="s">
        <v>569</v>
      </c>
      <c r="R73" s="56">
        <f>'CNT 10.31.17'!S75</f>
        <v>109277.74</v>
      </c>
      <c r="S73" s="56"/>
      <c r="T73" s="56">
        <v>0</v>
      </c>
      <c r="U73" s="56"/>
      <c r="V73" s="56">
        <v>0</v>
      </c>
      <c r="W73" s="56"/>
      <c r="X73" s="56">
        <v>0</v>
      </c>
      <c r="Y73" s="56"/>
      <c r="Z73" s="56">
        <v>0</v>
      </c>
      <c r="AA73" s="56"/>
      <c r="AB73" s="56">
        <v>0</v>
      </c>
      <c r="AC73" s="56"/>
      <c r="AD73" s="56">
        <v>0</v>
      </c>
      <c r="AE73" s="56"/>
      <c r="AF73" s="56">
        <f t="shared" si="27"/>
        <v>109277.74</v>
      </c>
      <c r="AG73" s="54" t="s">
        <v>569</v>
      </c>
      <c r="AH73" s="63">
        <f t="shared" si="24"/>
        <v>197549.26</v>
      </c>
      <c r="AI73" s="63"/>
      <c r="AJ73" s="63">
        <f t="shared" si="28"/>
        <v>109277.74</v>
      </c>
      <c r="AK73" s="63"/>
      <c r="AL73" s="63">
        <f t="shared" si="25"/>
        <v>88271.52</v>
      </c>
      <c r="AM73" s="63"/>
      <c r="AN73" s="59">
        <f t="shared" si="31"/>
        <v>1.8077721958744755</v>
      </c>
      <c r="AO73" s="59"/>
      <c r="AP73" s="60">
        <f t="shared" si="30"/>
        <v>0.80777219587447546</v>
      </c>
    </row>
    <row r="74" spans="1:42" s="54" customFormat="1" ht="24.95" customHeight="1" x14ac:dyDescent="0.2">
      <c r="A74" s="54" t="s">
        <v>570</v>
      </c>
      <c r="B74" s="142">
        <f>CNT!S84</f>
        <v>12529.75</v>
      </c>
      <c r="C74" s="56"/>
      <c r="D74" s="142">
        <v>0</v>
      </c>
      <c r="E74" s="56"/>
      <c r="F74" s="142">
        <v>0</v>
      </c>
      <c r="G74" s="56"/>
      <c r="H74" s="142">
        <v>0</v>
      </c>
      <c r="I74" s="51"/>
      <c r="J74" s="142">
        <v>0</v>
      </c>
      <c r="K74" s="51"/>
      <c r="L74" s="142">
        <v>0</v>
      </c>
      <c r="M74" s="51"/>
      <c r="N74" s="142">
        <v>0</v>
      </c>
      <c r="O74" s="51"/>
      <c r="P74" s="56">
        <f t="shared" si="26"/>
        <v>12529.75</v>
      </c>
      <c r="Q74" s="54" t="s">
        <v>570</v>
      </c>
      <c r="R74" s="56">
        <f>'CNT 10.31.17'!S76</f>
        <v>12187.43</v>
      </c>
      <c r="S74" s="56"/>
      <c r="T74" s="56">
        <v>0</v>
      </c>
      <c r="U74" s="56"/>
      <c r="V74" s="56">
        <v>0</v>
      </c>
      <c r="W74" s="56"/>
      <c r="X74" s="56">
        <v>0</v>
      </c>
      <c r="Y74" s="56"/>
      <c r="Z74" s="56">
        <v>0</v>
      </c>
      <c r="AA74" s="56"/>
      <c r="AB74" s="56">
        <v>0</v>
      </c>
      <c r="AC74" s="56"/>
      <c r="AD74" s="56">
        <v>0</v>
      </c>
      <c r="AE74" s="56"/>
      <c r="AF74" s="56">
        <f t="shared" si="27"/>
        <v>12187.43</v>
      </c>
      <c r="AG74" s="54" t="s">
        <v>570</v>
      </c>
      <c r="AH74" s="63">
        <f t="shared" si="24"/>
        <v>12529.75</v>
      </c>
      <c r="AI74" s="63"/>
      <c r="AJ74" s="63">
        <f t="shared" si="28"/>
        <v>12187.43</v>
      </c>
      <c r="AK74" s="63"/>
      <c r="AL74" s="63">
        <f t="shared" si="25"/>
        <v>342.31999999999971</v>
      </c>
      <c r="AM74" s="63"/>
      <c r="AN74" s="59">
        <f t="shared" si="31"/>
        <v>1.028087956197492</v>
      </c>
      <c r="AO74" s="59"/>
      <c r="AP74" s="60">
        <f t="shared" si="30"/>
        <v>2.8087956197492048E-2</v>
      </c>
    </row>
    <row r="75" spans="1:42" s="54" customFormat="1" ht="24.95" customHeight="1" x14ac:dyDescent="0.2">
      <c r="A75" s="54" t="s">
        <v>301</v>
      </c>
      <c r="B75" s="142">
        <f>CNT!S85</f>
        <v>88835</v>
      </c>
      <c r="C75" s="56"/>
      <c r="D75" s="142">
        <v>0</v>
      </c>
      <c r="E75" s="56"/>
      <c r="F75" s="142">
        <f>DEP!S35</f>
        <v>3000</v>
      </c>
      <c r="G75" s="56"/>
      <c r="H75" s="142">
        <v>0</v>
      </c>
      <c r="I75" s="51"/>
      <c r="J75" s="142">
        <v>0</v>
      </c>
      <c r="K75" s="51"/>
      <c r="L75" s="142">
        <v>0</v>
      </c>
      <c r="M75" s="51"/>
      <c r="N75" s="142">
        <v>0</v>
      </c>
      <c r="O75" s="51"/>
      <c r="P75" s="56">
        <f t="shared" si="26"/>
        <v>91835</v>
      </c>
      <c r="Q75" s="51" t="s">
        <v>301</v>
      </c>
      <c r="R75" s="56">
        <f>'CNT 10.31.17'!S77</f>
        <v>114680</v>
      </c>
      <c r="S75" s="56"/>
      <c r="T75" s="56">
        <v>0</v>
      </c>
      <c r="U75" s="56"/>
      <c r="V75" s="56">
        <f>'DEP 10.31.17'!S35</f>
        <v>3640</v>
      </c>
      <c r="W75" s="56"/>
      <c r="X75" s="56">
        <v>0</v>
      </c>
      <c r="Y75" s="56"/>
      <c r="Z75" s="56">
        <v>0</v>
      </c>
      <c r="AA75" s="56"/>
      <c r="AB75" s="56">
        <v>0</v>
      </c>
      <c r="AC75" s="56"/>
      <c r="AD75" s="56">
        <v>0</v>
      </c>
      <c r="AE75" s="56"/>
      <c r="AF75" s="56">
        <f t="shared" si="27"/>
        <v>118320</v>
      </c>
      <c r="AG75" s="54" t="s">
        <v>301</v>
      </c>
      <c r="AH75" s="63">
        <f t="shared" si="24"/>
        <v>91835</v>
      </c>
      <c r="AI75" s="63"/>
      <c r="AJ75" s="63">
        <f t="shared" si="28"/>
        <v>118320</v>
      </c>
      <c r="AK75" s="63"/>
      <c r="AL75" s="63">
        <f t="shared" si="25"/>
        <v>-26485</v>
      </c>
      <c r="AM75" s="63"/>
      <c r="AN75" s="59">
        <f t="shared" si="31"/>
        <v>0.77615787694388105</v>
      </c>
      <c r="AO75" s="59"/>
      <c r="AP75" s="60">
        <f t="shared" si="30"/>
        <v>-0.22384212305611895</v>
      </c>
    </row>
    <row r="76" spans="1:42" s="54" customFormat="1" ht="24.95" customHeight="1" x14ac:dyDescent="0.2">
      <c r="A76" s="54" t="s">
        <v>302</v>
      </c>
      <c r="B76" s="142">
        <f>CNT!S86</f>
        <v>127640.61</v>
      </c>
      <c r="C76" s="56"/>
      <c r="D76" s="142">
        <v>0</v>
      </c>
      <c r="E76" s="56"/>
      <c r="F76" s="142">
        <f>DEP!S36</f>
        <v>3576.85</v>
      </c>
      <c r="G76" s="56"/>
      <c r="H76" s="142">
        <v>0</v>
      </c>
      <c r="I76" s="51"/>
      <c r="J76" s="142">
        <f>BSC!F50</f>
        <v>8298.39</v>
      </c>
      <c r="K76" s="51"/>
      <c r="L76" s="142">
        <v>0</v>
      </c>
      <c r="M76" s="51"/>
      <c r="N76" s="142">
        <v>0</v>
      </c>
      <c r="O76" s="51"/>
      <c r="P76" s="56">
        <f t="shared" si="26"/>
        <v>139515.84999999998</v>
      </c>
      <c r="Q76" s="51" t="s">
        <v>302</v>
      </c>
      <c r="R76" s="56">
        <f>'CNT 10.31.17'!S78</f>
        <v>90876.28</v>
      </c>
      <c r="S76" s="56"/>
      <c r="T76" s="56">
        <v>0</v>
      </c>
      <c r="U76" s="56"/>
      <c r="V76" s="56">
        <f>'DEP 10.31.17'!S36</f>
        <v>2851.79</v>
      </c>
      <c r="W76" s="56"/>
      <c r="X76" s="56">
        <v>0</v>
      </c>
      <c r="Y76" s="56"/>
      <c r="Z76" s="56">
        <v>0</v>
      </c>
      <c r="AA76" s="56"/>
      <c r="AB76" s="56">
        <v>0</v>
      </c>
      <c r="AC76" s="56"/>
      <c r="AD76" s="56">
        <v>0</v>
      </c>
      <c r="AE76" s="56"/>
      <c r="AF76" s="56">
        <f t="shared" si="27"/>
        <v>93728.069999999992</v>
      </c>
      <c r="AG76" s="54" t="s">
        <v>302</v>
      </c>
      <c r="AH76" s="63">
        <f t="shared" si="24"/>
        <v>139515.84999999998</v>
      </c>
      <c r="AI76" s="63"/>
      <c r="AJ76" s="63">
        <f t="shared" si="28"/>
        <v>93728.069999999992</v>
      </c>
      <c r="AK76" s="63"/>
      <c r="AL76" s="63">
        <f t="shared" si="25"/>
        <v>45787.779999999984</v>
      </c>
      <c r="AM76" s="63"/>
      <c r="AN76" s="59">
        <f>AH76/AJ76</f>
        <v>1.4885172606242718</v>
      </c>
      <c r="AO76" s="59"/>
      <c r="AP76" s="60">
        <f t="shared" si="30"/>
        <v>0.48851726062427181</v>
      </c>
    </row>
    <row r="77" spans="1:42" s="54" customFormat="1" ht="24.95" customHeight="1" x14ac:dyDescent="0.2">
      <c r="A77" s="54" t="s">
        <v>571</v>
      </c>
      <c r="B77" s="142">
        <v>0</v>
      </c>
      <c r="C77" s="56"/>
      <c r="D77" s="142">
        <v>0</v>
      </c>
      <c r="E77" s="56"/>
      <c r="F77" s="142">
        <v>0</v>
      </c>
      <c r="G77" s="56"/>
      <c r="H77" s="142">
        <v>0</v>
      </c>
      <c r="I77" s="56"/>
      <c r="J77" s="142">
        <v>0</v>
      </c>
      <c r="K77" s="56"/>
      <c r="L77" s="142">
        <v>0</v>
      </c>
      <c r="M77" s="56"/>
      <c r="N77" s="142">
        <v>0</v>
      </c>
      <c r="O77" s="56"/>
      <c r="P77" s="56">
        <f t="shared" si="26"/>
        <v>0</v>
      </c>
      <c r="Q77" s="54" t="s">
        <v>571</v>
      </c>
      <c r="R77" s="56">
        <f>'CNT 10.31.17'!S80</f>
        <v>-38944.5</v>
      </c>
      <c r="S77" s="56"/>
      <c r="T77" s="56">
        <f>'BPM 10.31.17'!S37</f>
        <v>263</v>
      </c>
      <c r="U77" s="56"/>
      <c r="V77" s="56">
        <v>0</v>
      </c>
      <c r="W77" s="56"/>
      <c r="X77" s="56">
        <v>0</v>
      </c>
      <c r="Y77" s="56"/>
      <c r="Z77" s="56">
        <v>0</v>
      </c>
      <c r="AA77" s="56"/>
      <c r="AB77" s="56">
        <v>0</v>
      </c>
      <c r="AC77" s="56"/>
      <c r="AD77" s="56">
        <v>0</v>
      </c>
      <c r="AE77" s="56"/>
      <c r="AF77" s="56">
        <f t="shared" si="27"/>
        <v>-38681.5</v>
      </c>
      <c r="AG77" s="54" t="s">
        <v>571</v>
      </c>
      <c r="AH77" s="63">
        <f t="shared" si="24"/>
        <v>0</v>
      </c>
      <c r="AI77" s="63"/>
      <c r="AJ77" s="63">
        <f t="shared" si="28"/>
        <v>-38681.5</v>
      </c>
      <c r="AK77" s="63"/>
      <c r="AL77" s="63">
        <f t="shared" si="25"/>
        <v>38681.5</v>
      </c>
      <c r="AM77" s="63"/>
      <c r="AN77" s="59">
        <f>AH77/AJ77</f>
        <v>0</v>
      </c>
      <c r="AO77" s="59"/>
      <c r="AP77" s="60">
        <f t="shared" si="30"/>
        <v>-1</v>
      </c>
    </row>
    <row r="78" spans="1:42" s="54" customFormat="1" ht="24.95" customHeight="1" x14ac:dyDescent="0.2">
      <c r="A78" s="54" t="s">
        <v>303</v>
      </c>
      <c r="B78" s="142">
        <f>CNT!S87</f>
        <v>60589.15</v>
      </c>
      <c r="C78" s="56"/>
      <c r="D78" s="142">
        <f>BPM!S40+BPM!S41</f>
        <v>135378.82999999999</v>
      </c>
      <c r="E78" s="56"/>
      <c r="F78" s="142">
        <f>DEP!S37</f>
        <v>8607.0400000000009</v>
      </c>
      <c r="G78" s="56"/>
      <c r="H78" s="142">
        <v>0</v>
      </c>
      <c r="I78" s="51"/>
      <c r="J78" s="142">
        <f>BSC!F51</f>
        <v>1425.3</v>
      </c>
      <c r="K78" s="51"/>
      <c r="L78" s="142">
        <v>0</v>
      </c>
      <c r="M78" s="51"/>
      <c r="N78" s="142">
        <v>0</v>
      </c>
      <c r="O78" s="51"/>
      <c r="P78" s="56">
        <f t="shared" si="26"/>
        <v>206000.31999999998</v>
      </c>
      <c r="Q78" s="51" t="s">
        <v>303</v>
      </c>
      <c r="R78" s="56">
        <f>'CNT 10.31.17'!S79</f>
        <v>47947.68</v>
      </c>
      <c r="S78" s="56"/>
      <c r="T78" s="56">
        <f>'BPM 10.31.17'!S35</f>
        <v>13819.26</v>
      </c>
      <c r="U78" s="56"/>
      <c r="V78" s="56">
        <f>'DEP 10.31.17'!S37</f>
        <v>0</v>
      </c>
      <c r="W78" s="56"/>
      <c r="X78" s="56"/>
      <c r="Y78" s="56"/>
      <c r="Z78" s="56"/>
      <c r="AA78" s="56"/>
      <c r="AB78" s="56">
        <v>0</v>
      </c>
      <c r="AC78" s="56"/>
      <c r="AD78" s="56">
        <v>0</v>
      </c>
      <c r="AE78" s="56"/>
      <c r="AF78" s="56">
        <f t="shared" si="27"/>
        <v>61766.94</v>
      </c>
      <c r="AG78" s="54" t="s">
        <v>303</v>
      </c>
      <c r="AH78" s="63">
        <f t="shared" si="24"/>
        <v>206000.31999999998</v>
      </c>
      <c r="AI78" s="63"/>
      <c r="AJ78" s="63">
        <f t="shared" si="28"/>
        <v>61766.94</v>
      </c>
      <c r="AK78" s="63"/>
      <c r="AL78" s="63">
        <f t="shared" si="25"/>
        <v>144233.37999999998</v>
      </c>
      <c r="AM78" s="63"/>
      <c r="AN78" s="59">
        <f t="shared" si="31"/>
        <v>3.3351226400401246</v>
      </c>
      <c r="AO78" s="59"/>
      <c r="AP78" s="60">
        <f t="shared" si="30"/>
        <v>2.3351226400401246</v>
      </c>
    </row>
    <row r="79" spans="1:42" s="54" customFormat="1" ht="24.95" customHeight="1" x14ac:dyDescent="0.2">
      <c r="A79" s="54" t="s">
        <v>304</v>
      </c>
      <c r="B79" s="142">
        <f>CNT!S88</f>
        <v>0</v>
      </c>
      <c r="C79" s="56"/>
      <c r="D79" s="142">
        <v>0</v>
      </c>
      <c r="E79" s="56"/>
      <c r="F79" s="142">
        <v>0</v>
      </c>
      <c r="G79" s="56"/>
      <c r="H79" s="142">
        <v>0</v>
      </c>
      <c r="I79" s="51"/>
      <c r="J79" s="142">
        <v>0</v>
      </c>
      <c r="K79" s="51"/>
      <c r="L79" s="142">
        <v>0</v>
      </c>
      <c r="M79" s="51"/>
      <c r="N79" s="142">
        <v>0</v>
      </c>
      <c r="O79" s="51"/>
      <c r="P79" s="56">
        <f t="shared" si="26"/>
        <v>0</v>
      </c>
      <c r="Q79" s="51" t="s">
        <v>304</v>
      </c>
      <c r="R79" s="56">
        <v>0</v>
      </c>
      <c r="S79" s="56"/>
      <c r="T79" s="56">
        <v>0</v>
      </c>
      <c r="U79" s="56"/>
      <c r="V79" s="56">
        <v>0</v>
      </c>
      <c r="W79" s="56"/>
      <c r="X79" s="56">
        <v>0</v>
      </c>
      <c r="Y79" s="56"/>
      <c r="Z79" s="56">
        <f>'BSC 10.31.17'!F48</f>
        <v>-526.76</v>
      </c>
      <c r="AA79" s="56"/>
      <c r="AB79" s="56">
        <v>0</v>
      </c>
      <c r="AC79" s="56"/>
      <c r="AD79" s="56">
        <v>0</v>
      </c>
      <c r="AE79" s="56"/>
      <c r="AF79" s="56">
        <f t="shared" si="27"/>
        <v>-526.76</v>
      </c>
      <c r="AG79" s="54" t="s">
        <v>304</v>
      </c>
      <c r="AH79" s="63">
        <f t="shared" si="24"/>
        <v>0</v>
      </c>
      <c r="AI79" s="63"/>
      <c r="AJ79" s="63">
        <f t="shared" si="28"/>
        <v>-526.76</v>
      </c>
      <c r="AK79" s="63"/>
      <c r="AL79" s="63">
        <f t="shared" si="25"/>
        <v>526.76</v>
      </c>
      <c r="AM79" s="63"/>
      <c r="AN79" s="59">
        <f>AH79/AJ79</f>
        <v>0</v>
      </c>
      <c r="AO79" s="59"/>
      <c r="AP79" s="60">
        <f t="shared" si="30"/>
        <v>-1</v>
      </c>
    </row>
    <row r="80" spans="1:42" s="54" customFormat="1" ht="24.95" customHeight="1" x14ac:dyDescent="0.2">
      <c r="A80" s="54" t="s">
        <v>305</v>
      </c>
      <c r="B80" s="142">
        <f>CNT!S89</f>
        <v>5417.74</v>
      </c>
      <c r="C80" s="56"/>
      <c r="D80" s="142">
        <v>0</v>
      </c>
      <c r="E80" s="56"/>
      <c r="F80" s="142">
        <v>0</v>
      </c>
      <c r="G80" s="56"/>
      <c r="H80" s="142">
        <v>0</v>
      </c>
      <c r="I80" s="51"/>
      <c r="J80" s="142">
        <v>0</v>
      </c>
      <c r="K80" s="51"/>
      <c r="L80" s="142">
        <v>0</v>
      </c>
      <c r="M80" s="51"/>
      <c r="N80" s="142">
        <v>0</v>
      </c>
      <c r="O80" s="51"/>
      <c r="P80" s="56">
        <f t="shared" si="26"/>
        <v>5417.74</v>
      </c>
      <c r="Q80" s="51" t="s">
        <v>305</v>
      </c>
      <c r="R80" s="56">
        <v>0</v>
      </c>
      <c r="S80" s="56"/>
      <c r="T80" s="56">
        <v>0</v>
      </c>
      <c r="U80" s="56"/>
      <c r="V80" s="56">
        <v>0</v>
      </c>
      <c r="W80" s="56"/>
      <c r="X80" s="56">
        <v>0</v>
      </c>
      <c r="Y80" s="56"/>
      <c r="Z80" s="56">
        <v>0</v>
      </c>
      <c r="AA80" s="56"/>
      <c r="AB80" s="56">
        <v>0</v>
      </c>
      <c r="AC80" s="56"/>
      <c r="AD80" s="56">
        <v>0</v>
      </c>
      <c r="AE80" s="56"/>
      <c r="AF80" s="56">
        <f t="shared" si="27"/>
        <v>0</v>
      </c>
      <c r="AG80" s="54" t="s">
        <v>305</v>
      </c>
      <c r="AH80" s="63">
        <f t="shared" si="24"/>
        <v>5417.74</v>
      </c>
      <c r="AI80" s="63"/>
      <c r="AJ80" s="63">
        <f t="shared" si="28"/>
        <v>0</v>
      </c>
      <c r="AK80" s="63"/>
      <c r="AL80" s="63">
        <f t="shared" si="25"/>
        <v>5417.74</v>
      </c>
      <c r="AM80" s="63"/>
      <c r="AN80" s="59">
        <v>0</v>
      </c>
      <c r="AO80" s="59"/>
      <c r="AP80" s="60">
        <f t="shared" si="30"/>
        <v>-1</v>
      </c>
    </row>
    <row r="81" spans="1:42" s="54" customFormat="1" ht="24.95" customHeight="1" x14ac:dyDescent="0.2">
      <c r="A81" s="54" t="s">
        <v>306</v>
      </c>
      <c r="B81" s="142">
        <f>CNT!S90</f>
        <v>2693.72</v>
      </c>
      <c r="C81" s="56"/>
      <c r="D81" s="142">
        <v>0</v>
      </c>
      <c r="E81" s="56"/>
      <c r="F81" s="142">
        <v>0</v>
      </c>
      <c r="G81" s="56"/>
      <c r="H81" s="142">
        <v>0</v>
      </c>
      <c r="I81" s="51"/>
      <c r="J81" s="142">
        <v>0</v>
      </c>
      <c r="K81" s="51"/>
      <c r="L81" s="142">
        <v>0</v>
      </c>
      <c r="M81" s="51"/>
      <c r="N81" s="142">
        <v>0</v>
      </c>
      <c r="O81" s="51"/>
      <c r="P81" s="56">
        <f t="shared" si="26"/>
        <v>2693.72</v>
      </c>
      <c r="Q81" s="51" t="s">
        <v>306</v>
      </c>
      <c r="R81" s="56">
        <v>0</v>
      </c>
      <c r="S81" s="56"/>
      <c r="T81" s="56">
        <v>0</v>
      </c>
      <c r="U81" s="56"/>
      <c r="V81" s="56">
        <v>0</v>
      </c>
      <c r="W81" s="56"/>
      <c r="X81" s="56">
        <v>0</v>
      </c>
      <c r="Y81" s="56"/>
      <c r="Z81" s="56">
        <v>0</v>
      </c>
      <c r="AA81" s="56"/>
      <c r="AB81" s="56">
        <v>0</v>
      </c>
      <c r="AC81" s="56"/>
      <c r="AD81" s="56">
        <v>0</v>
      </c>
      <c r="AE81" s="56"/>
      <c r="AF81" s="56">
        <f t="shared" si="27"/>
        <v>0</v>
      </c>
      <c r="AG81" s="54" t="s">
        <v>306</v>
      </c>
      <c r="AH81" s="63">
        <f t="shared" si="24"/>
        <v>2693.72</v>
      </c>
      <c r="AI81" s="63"/>
      <c r="AJ81" s="63">
        <f t="shared" si="28"/>
        <v>0</v>
      </c>
      <c r="AK81" s="63"/>
      <c r="AL81" s="63">
        <f t="shared" si="25"/>
        <v>2693.72</v>
      </c>
      <c r="AM81" s="63"/>
      <c r="AN81" s="59">
        <v>0</v>
      </c>
      <c r="AO81" s="59"/>
      <c r="AP81" s="60">
        <f t="shared" si="30"/>
        <v>-1</v>
      </c>
    </row>
    <row r="82" spans="1:42" s="54" customFormat="1" ht="24.95" customHeight="1" x14ac:dyDescent="0.2">
      <c r="A82" s="54" t="s">
        <v>572</v>
      </c>
      <c r="B82" s="142">
        <v>0</v>
      </c>
      <c r="C82" s="56"/>
      <c r="D82" s="142">
        <v>0</v>
      </c>
      <c r="E82" s="56"/>
      <c r="F82" s="142">
        <f>DEP!S34</f>
        <v>33666.29</v>
      </c>
      <c r="G82" s="56"/>
      <c r="H82" s="142">
        <v>0</v>
      </c>
      <c r="I82" s="51"/>
      <c r="J82" s="142">
        <f>BSC!F49</f>
        <v>1375</v>
      </c>
      <c r="K82" s="51"/>
      <c r="L82" s="142">
        <v>0</v>
      </c>
      <c r="M82" s="51"/>
      <c r="N82" s="142">
        <v>0</v>
      </c>
      <c r="O82" s="51"/>
      <c r="P82" s="56">
        <f t="shared" si="26"/>
        <v>35041.29</v>
      </c>
      <c r="Q82" s="54" t="s">
        <v>572</v>
      </c>
      <c r="R82" s="56">
        <v>0</v>
      </c>
      <c r="S82" s="56"/>
      <c r="T82" s="56">
        <f>'BPM 10.31.17'!S34</f>
        <v>18688.75</v>
      </c>
      <c r="U82" s="56"/>
      <c r="V82" s="56">
        <f>'DEP 10.31.17'!S34</f>
        <v>16127.5</v>
      </c>
      <c r="W82" s="56"/>
      <c r="X82" s="56">
        <v>0</v>
      </c>
      <c r="Y82" s="56"/>
      <c r="Z82" s="56">
        <f>'BSC 10.31.17'!F47</f>
        <v>6875</v>
      </c>
      <c r="AA82" s="56"/>
      <c r="AB82" s="56">
        <v>0</v>
      </c>
      <c r="AC82" s="56"/>
      <c r="AD82" s="56">
        <v>0</v>
      </c>
      <c r="AE82" s="56"/>
      <c r="AF82" s="56">
        <f t="shared" si="27"/>
        <v>41691.25</v>
      </c>
      <c r="AG82" s="54" t="s">
        <v>572</v>
      </c>
      <c r="AH82" s="63">
        <f t="shared" si="24"/>
        <v>35041.29</v>
      </c>
      <c r="AI82" s="63"/>
      <c r="AJ82" s="63">
        <f t="shared" si="28"/>
        <v>41691.25</v>
      </c>
      <c r="AK82" s="63"/>
      <c r="AL82" s="63">
        <f t="shared" si="25"/>
        <v>-6649.9599999999991</v>
      </c>
      <c r="AM82" s="63"/>
      <c r="AN82" s="59">
        <f>AH82/AJ82</f>
        <v>0.84049506790993311</v>
      </c>
      <c r="AO82" s="59"/>
      <c r="AP82" s="60">
        <f t="shared" si="30"/>
        <v>-0.15950493209006689</v>
      </c>
    </row>
    <row r="83" spans="1:42" s="54" customFormat="1" ht="24.95" customHeight="1" x14ac:dyDescent="0.2">
      <c r="A83" s="54" t="s">
        <v>307</v>
      </c>
      <c r="B83" s="142">
        <f>CNT!S91</f>
        <v>-882.14</v>
      </c>
      <c r="C83" s="56"/>
      <c r="D83" s="142">
        <v>0</v>
      </c>
      <c r="E83" s="56"/>
      <c r="F83" s="142">
        <v>0</v>
      </c>
      <c r="G83" s="56"/>
      <c r="H83" s="142">
        <v>0</v>
      </c>
      <c r="I83" s="51"/>
      <c r="J83" s="142">
        <v>0</v>
      </c>
      <c r="K83" s="51"/>
      <c r="L83" s="142">
        <v>0</v>
      </c>
      <c r="M83" s="51"/>
      <c r="N83" s="142">
        <v>0</v>
      </c>
      <c r="O83" s="51"/>
      <c r="P83" s="56">
        <f t="shared" si="26"/>
        <v>-882.14</v>
      </c>
      <c r="Q83" s="51" t="s">
        <v>307</v>
      </c>
      <c r="R83" s="56">
        <v>0</v>
      </c>
      <c r="S83" s="56"/>
      <c r="T83" s="56">
        <v>0</v>
      </c>
      <c r="U83" s="56"/>
      <c r="V83" s="56">
        <v>0</v>
      </c>
      <c r="W83" s="56"/>
      <c r="X83" s="56">
        <v>0</v>
      </c>
      <c r="Y83" s="56"/>
      <c r="Z83" s="56">
        <v>0</v>
      </c>
      <c r="AA83" s="56"/>
      <c r="AB83" s="56">
        <v>0</v>
      </c>
      <c r="AC83" s="56"/>
      <c r="AD83" s="56">
        <v>0</v>
      </c>
      <c r="AE83" s="56"/>
      <c r="AF83" s="56">
        <f t="shared" si="27"/>
        <v>0</v>
      </c>
      <c r="AG83" s="54" t="s">
        <v>307</v>
      </c>
      <c r="AH83" s="63">
        <f t="shared" si="24"/>
        <v>-882.14</v>
      </c>
      <c r="AI83" s="63"/>
      <c r="AJ83" s="63">
        <f t="shared" si="28"/>
        <v>0</v>
      </c>
      <c r="AK83" s="63"/>
      <c r="AL83" s="63">
        <f t="shared" si="25"/>
        <v>-882.14</v>
      </c>
      <c r="AM83" s="63"/>
      <c r="AN83" s="59">
        <v>0</v>
      </c>
      <c r="AO83" s="59"/>
      <c r="AP83" s="60">
        <f t="shared" si="30"/>
        <v>-1</v>
      </c>
    </row>
    <row r="84" spans="1:42" s="54" customFormat="1" ht="24.95" customHeight="1" x14ac:dyDescent="0.2">
      <c r="A84" s="54" t="s">
        <v>308</v>
      </c>
      <c r="B84" s="142">
        <f>CNT!S92</f>
        <v>0</v>
      </c>
      <c r="C84" s="56"/>
      <c r="D84" s="142">
        <v>0</v>
      </c>
      <c r="E84" s="56"/>
      <c r="F84" s="142">
        <v>0</v>
      </c>
      <c r="G84" s="56"/>
      <c r="H84" s="142">
        <v>0</v>
      </c>
      <c r="I84" s="51"/>
      <c r="J84" s="142">
        <v>0</v>
      </c>
      <c r="K84" s="51"/>
      <c r="L84" s="142">
        <v>0</v>
      </c>
      <c r="M84" s="51"/>
      <c r="N84" s="142">
        <v>0</v>
      </c>
      <c r="O84" s="51"/>
      <c r="P84" s="56">
        <f t="shared" si="26"/>
        <v>0</v>
      </c>
      <c r="Q84" s="51" t="s">
        <v>308</v>
      </c>
      <c r="R84" s="56">
        <v>0</v>
      </c>
      <c r="S84" s="56"/>
      <c r="T84" s="56">
        <v>0</v>
      </c>
      <c r="U84" s="56"/>
      <c r="V84" s="56">
        <v>0</v>
      </c>
      <c r="W84" s="56"/>
      <c r="X84" s="56">
        <v>0</v>
      </c>
      <c r="Y84" s="56"/>
      <c r="Z84" s="56">
        <v>0</v>
      </c>
      <c r="AA84" s="56"/>
      <c r="AB84" s="56">
        <v>0</v>
      </c>
      <c r="AC84" s="56"/>
      <c r="AD84" s="56">
        <v>0</v>
      </c>
      <c r="AE84" s="56"/>
      <c r="AF84" s="56">
        <f t="shared" si="27"/>
        <v>0</v>
      </c>
      <c r="AG84" s="54" t="s">
        <v>308</v>
      </c>
      <c r="AH84" s="63">
        <f t="shared" si="24"/>
        <v>0</v>
      </c>
      <c r="AI84" s="63"/>
      <c r="AJ84" s="63">
        <f t="shared" si="28"/>
        <v>0</v>
      </c>
      <c r="AK84" s="63"/>
      <c r="AL84" s="63">
        <f t="shared" si="25"/>
        <v>0</v>
      </c>
      <c r="AM84" s="63"/>
      <c r="AN84" s="59">
        <v>0</v>
      </c>
      <c r="AO84" s="59"/>
      <c r="AP84" s="60">
        <f t="shared" si="30"/>
        <v>-1</v>
      </c>
    </row>
    <row r="85" spans="1:42" s="54" customFormat="1" ht="24.95" customHeight="1" x14ac:dyDescent="0.2">
      <c r="A85" s="54" t="s">
        <v>309</v>
      </c>
      <c r="B85" s="142">
        <f>CNT!S93</f>
        <v>-3899.36</v>
      </c>
      <c r="C85" s="56"/>
      <c r="D85" s="142">
        <v>0</v>
      </c>
      <c r="E85" s="56"/>
      <c r="F85" s="142">
        <v>0</v>
      </c>
      <c r="G85" s="56"/>
      <c r="H85" s="142">
        <v>0</v>
      </c>
      <c r="I85" s="51"/>
      <c r="J85" s="142">
        <v>0</v>
      </c>
      <c r="K85" s="51"/>
      <c r="L85" s="142">
        <v>0</v>
      </c>
      <c r="M85" s="51"/>
      <c r="N85" s="142">
        <v>0</v>
      </c>
      <c r="O85" s="51"/>
      <c r="P85" s="56">
        <f t="shared" si="26"/>
        <v>-3899.36</v>
      </c>
      <c r="Q85" s="51" t="s">
        <v>309</v>
      </c>
      <c r="R85" s="56">
        <v>0</v>
      </c>
      <c r="S85" s="56"/>
      <c r="T85" s="56">
        <v>0</v>
      </c>
      <c r="U85" s="56"/>
      <c r="V85" s="56">
        <v>0</v>
      </c>
      <c r="W85" s="56"/>
      <c r="X85" s="56">
        <v>0</v>
      </c>
      <c r="Y85" s="56"/>
      <c r="Z85" s="56">
        <v>0</v>
      </c>
      <c r="AA85" s="56"/>
      <c r="AB85" s="56">
        <v>0</v>
      </c>
      <c r="AC85" s="56"/>
      <c r="AD85" s="56">
        <v>0</v>
      </c>
      <c r="AE85" s="56"/>
      <c r="AF85" s="56">
        <f t="shared" si="27"/>
        <v>0</v>
      </c>
      <c r="AG85" s="54" t="s">
        <v>309</v>
      </c>
      <c r="AH85" s="63">
        <f t="shared" si="24"/>
        <v>-3899.36</v>
      </c>
      <c r="AI85" s="63"/>
      <c r="AJ85" s="63">
        <f t="shared" si="28"/>
        <v>0</v>
      </c>
      <c r="AK85" s="63"/>
      <c r="AL85" s="63">
        <f t="shared" si="25"/>
        <v>-3899.36</v>
      </c>
      <c r="AM85" s="63"/>
      <c r="AN85" s="59">
        <v>0</v>
      </c>
      <c r="AO85" s="59"/>
      <c r="AP85" s="60">
        <f t="shared" si="30"/>
        <v>-1</v>
      </c>
    </row>
    <row r="86" spans="1:42" s="54" customFormat="1" ht="24.95" customHeight="1" x14ac:dyDescent="0.2">
      <c r="A86" s="54" t="s">
        <v>310</v>
      </c>
      <c r="B86" s="142">
        <v>0</v>
      </c>
      <c r="C86" s="56"/>
      <c r="D86" s="142">
        <f>BPM!S43</f>
        <v>2292.5</v>
      </c>
      <c r="E86" s="56"/>
      <c r="F86" s="142">
        <v>0</v>
      </c>
      <c r="G86" s="56"/>
      <c r="H86" s="142">
        <v>0</v>
      </c>
      <c r="I86" s="51"/>
      <c r="J86" s="142">
        <v>0</v>
      </c>
      <c r="K86" s="51"/>
      <c r="L86" s="142">
        <v>0</v>
      </c>
      <c r="M86" s="51"/>
      <c r="N86" s="142">
        <v>0</v>
      </c>
      <c r="O86" s="51"/>
      <c r="P86" s="56">
        <f t="shared" si="26"/>
        <v>2292.5</v>
      </c>
      <c r="Q86" s="51" t="s">
        <v>310</v>
      </c>
      <c r="R86" s="56">
        <v>0</v>
      </c>
      <c r="S86" s="56"/>
      <c r="T86" s="56">
        <f>'BPM 10.31.17'!S36</f>
        <v>12476.5</v>
      </c>
      <c r="U86" s="56"/>
      <c r="V86" s="56">
        <v>0</v>
      </c>
      <c r="W86" s="56"/>
      <c r="X86" s="56">
        <v>0</v>
      </c>
      <c r="Y86" s="56"/>
      <c r="Z86" s="56">
        <v>0</v>
      </c>
      <c r="AA86" s="56"/>
      <c r="AB86" s="56">
        <v>0</v>
      </c>
      <c r="AC86" s="56"/>
      <c r="AD86" s="56">
        <v>0</v>
      </c>
      <c r="AE86" s="56"/>
      <c r="AF86" s="56">
        <f t="shared" si="27"/>
        <v>12476.5</v>
      </c>
      <c r="AG86" s="54" t="s">
        <v>310</v>
      </c>
      <c r="AH86" s="63">
        <f t="shared" si="24"/>
        <v>2292.5</v>
      </c>
      <c r="AI86" s="63"/>
      <c r="AJ86" s="63">
        <f t="shared" si="28"/>
        <v>12476.5</v>
      </c>
      <c r="AK86" s="63"/>
      <c r="AL86" s="63">
        <f t="shared" si="25"/>
        <v>-10184</v>
      </c>
      <c r="AM86" s="63"/>
      <c r="AN86" s="59">
        <f>AH86/AJ86</f>
        <v>0.18374544142988819</v>
      </c>
      <c r="AO86" s="59"/>
      <c r="AP86" s="60">
        <f t="shared" si="30"/>
        <v>-0.81625455857011175</v>
      </c>
    </row>
    <row r="87" spans="1:42" s="54" customFormat="1" ht="24.95" customHeight="1" x14ac:dyDescent="0.2">
      <c r="A87" s="54" t="s">
        <v>311</v>
      </c>
      <c r="B87" s="142">
        <f>CNT!S94</f>
        <v>607985.46</v>
      </c>
      <c r="C87" s="56"/>
      <c r="D87" s="142">
        <v>0</v>
      </c>
      <c r="E87" s="56"/>
      <c r="F87" s="142">
        <v>0</v>
      </c>
      <c r="G87" s="56"/>
      <c r="H87" s="142">
        <v>0</v>
      </c>
      <c r="I87" s="51"/>
      <c r="J87" s="142">
        <v>0</v>
      </c>
      <c r="K87" s="51"/>
      <c r="L87" s="142">
        <v>0</v>
      </c>
      <c r="M87" s="51"/>
      <c r="N87" s="142">
        <v>0</v>
      </c>
      <c r="O87" s="51"/>
      <c r="P87" s="56">
        <f t="shared" si="26"/>
        <v>607985.46</v>
      </c>
      <c r="Q87" s="51" t="s">
        <v>311</v>
      </c>
      <c r="R87" s="56">
        <f>'CNT 10.31.17'!S81</f>
        <v>607985.46</v>
      </c>
      <c r="S87" s="56"/>
      <c r="T87" s="56">
        <v>0</v>
      </c>
      <c r="U87" s="56"/>
      <c r="V87" s="56">
        <v>0</v>
      </c>
      <c r="W87" s="56"/>
      <c r="X87" s="56">
        <v>0</v>
      </c>
      <c r="Y87" s="56"/>
      <c r="Z87" s="56">
        <v>0</v>
      </c>
      <c r="AA87" s="56"/>
      <c r="AB87" s="56">
        <v>0</v>
      </c>
      <c r="AC87" s="56"/>
      <c r="AD87" s="56">
        <v>0</v>
      </c>
      <c r="AE87" s="56"/>
      <c r="AF87" s="56">
        <f t="shared" si="27"/>
        <v>607985.46</v>
      </c>
      <c r="AG87" s="54" t="s">
        <v>311</v>
      </c>
      <c r="AH87" s="63">
        <f t="shared" si="24"/>
        <v>607985.46</v>
      </c>
      <c r="AI87" s="63"/>
      <c r="AJ87" s="63">
        <f t="shared" si="28"/>
        <v>607985.46</v>
      </c>
      <c r="AK87" s="63"/>
      <c r="AL87" s="63">
        <f t="shared" si="25"/>
        <v>0</v>
      </c>
      <c r="AM87" s="63"/>
      <c r="AN87" s="59">
        <f>AH87/AJ87</f>
        <v>1</v>
      </c>
      <c r="AO87" s="59"/>
      <c r="AP87" s="60">
        <f t="shared" si="30"/>
        <v>0</v>
      </c>
    </row>
    <row r="88" spans="1:42" s="54" customFormat="1" ht="24.95" customHeight="1" x14ac:dyDescent="0.2">
      <c r="A88" s="54" t="s">
        <v>395</v>
      </c>
      <c r="B88" s="142">
        <v>0</v>
      </c>
      <c r="C88" s="56"/>
      <c r="D88" s="142">
        <v>0</v>
      </c>
      <c r="E88" s="56"/>
      <c r="F88" s="142">
        <v>0</v>
      </c>
      <c r="G88" s="56"/>
      <c r="H88" s="142">
        <v>0</v>
      </c>
      <c r="I88" s="51"/>
      <c r="J88" s="142">
        <f>BSC!F52</f>
        <v>914648.06</v>
      </c>
      <c r="K88" s="51"/>
      <c r="L88" s="142">
        <f>'Oliari Co'!F61</f>
        <v>90397.65</v>
      </c>
      <c r="M88" s="51"/>
      <c r="N88" s="142">
        <v>0</v>
      </c>
      <c r="O88" s="51"/>
      <c r="P88" s="56">
        <f t="shared" si="26"/>
        <v>1005045.7100000001</v>
      </c>
      <c r="Q88" s="51" t="s">
        <v>395</v>
      </c>
      <c r="R88" s="56"/>
      <c r="S88" s="56"/>
      <c r="T88" s="56"/>
      <c r="U88" s="56"/>
      <c r="V88" s="56"/>
      <c r="W88" s="56"/>
      <c r="X88" s="56"/>
      <c r="Y88" s="56"/>
      <c r="Z88" s="56">
        <f>'BSC 10.31.17'!F49</f>
        <v>841943.54</v>
      </c>
      <c r="AA88" s="56"/>
      <c r="AB88" s="56">
        <f>'Oliari Co 10.31.17'!F65</f>
        <v>73179.05</v>
      </c>
      <c r="AC88" s="56"/>
      <c r="AD88" s="56">
        <f>'Oliari Co 10.31.17'!H65</f>
        <v>0</v>
      </c>
      <c r="AE88" s="56"/>
      <c r="AF88" s="56">
        <f t="shared" si="27"/>
        <v>915122.59000000008</v>
      </c>
      <c r="AG88" s="54" t="s">
        <v>395</v>
      </c>
      <c r="AH88" s="63">
        <f t="shared" si="24"/>
        <v>1005045.7100000001</v>
      </c>
      <c r="AI88" s="63"/>
      <c r="AJ88" s="63">
        <f t="shared" si="28"/>
        <v>915122.59000000008</v>
      </c>
      <c r="AK88" s="63"/>
      <c r="AL88" s="63">
        <f t="shared" si="25"/>
        <v>89923.12</v>
      </c>
      <c r="AM88" s="63"/>
      <c r="AN88" s="59">
        <f>AH88/AJ88</f>
        <v>1.0982634687228079</v>
      </c>
      <c r="AO88" s="59"/>
      <c r="AP88" s="60">
        <f t="shared" si="30"/>
        <v>9.826346872280789E-2</v>
      </c>
    </row>
    <row r="89" spans="1:42" s="54" customFormat="1" ht="24.95" customHeight="1" x14ac:dyDescent="0.2">
      <c r="A89" s="54" t="s">
        <v>312</v>
      </c>
      <c r="B89" s="142">
        <f>CNT!S95+CNT!S96</f>
        <v>5700000</v>
      </c>
      <c r="C89" s="56"/>
      <c r="D89" s="142">
        <v>0</v>
      </c>
      <c r="E89" s="56"/>
      <c r="F89" s="142">
        <v>0</v>
      </c>
      <c r="G89" s="56"/>
      <c r="H89" s="142">
        <v>0</v>
      </c>
      <c r="I89" s="51"/>
      <c r="J89" s="142">
        <v>0</v>
      </c>
      <c r="K89" s="51"/>
      <c r="L89" s="142">
        <v>0</v>
      </c>
      <c r="M89" s="51"/>
      <c r="N89" s="142">
        <v>250000</v>
      </c>
      <c r="O89" s="51"/>
      <c r="P89" s="56">
        <f t="shared" si="26"/>
        <v>5950000</v>
      </c>
      <c r="Q89" s="51" t="s">
        <v>312</v>
      </c>
      <c r="R89" s="56">
        <f>'CNT 10.31.17'!S82</f>
        <v>2465412.2599999998</v>
      </c>
      <c r="S89" s="56"/>
      <c r="T89" s="56">
        <v>0</v>
      </c>
      <c r="U89" s="56"/>
      <c r="V89" s="56">
        <v>0</v>
      </c>
      <c r="W89" s="56"/>
      <c r="X89" s="56">
        <v>0</v>
      </c>
      <c r="Y89" s="56"/>
      <c r="Z89" s="56">
        <v>0</v>
      </c>
      <c r="AA89" s="56"/>
      <c r="AB89" s="56">
        <v>0</v>
      </c>
      <c r="AC89" s="56"/>
      <c r="AD89" s="56">
        <v>0</v>
      </c>
      <c r="AE89" s="56"/>
      <c r="AF89" s="56">
        <f t="shared" si="27"/>
        <v>2465412.2599999998</v>
      </c>
      <c r="AG89" s="54" t="s">
        <v>312</v>
      </c>
      <c r="AH89" s="63">
        <f t="shared" si="24"/>
        <v>5950000</v>
      </c>
      <c r="AI89" s="63"/>
      <c r="AJ89" s="63">
        <f t="shared" si="28"/>
        <v>2465412.2599999998</v>
      </c>
      <c r="AK89" s="63"/>
      <c r="AL89" s="63">
        <f t="shared" si="25"/>
        <v>3484587.74</v>
      </c>
      <c r="AM89" s="63"/>
      <c r="AN89" s="59">
        <f>AH89/AJ89</f>
        <v>2.4133894750730249</v>
      </c>
      <c r="AO89" s="59"/>
      <c r="AP89" s="60">
        <f t="shared" si="30"/>
        <v>1.4133894750730249</v>
      </c>
    </row>
    <row r="90" spans="1:42" s="54" customFormat="1" ht="24.95" customHeight="1" x14ac:dyDescent="0.2">
      <c r="A90" s="54" t="s">
        <v>313</v>
      </c>
      <c r="B90" s="142">
        <f>CNT!S98+CNT!S97</f>
        <v>40900</v>
      </c>
      <c r="C90" s="56"/>
      <c r="D90" s="142">
        <f>BPM!S44+BPM!S45</f>
        <v>407525.02</v>
      </c>
      <c r="E90" s="56"/>
      <c r="F90" s="142">
        <f>DEP!S38+DEP!S44</f>
        <v>126046.16</v>
      </c>
      <c r="G90" s="56"/>
      <c r="H90" s="142">
        <f>Lending!F34+Lending!F35+Lending!F33</f>
        <v>299086.48000000004</v>
      </c>
      <c r="I90" s="51"/>
      <c r="J90" s="142">
        <f>BSC!F54+BSC!F59</f>
        <v>1260474.6500000001</v>
      </c>
      <c r="K90" s="51"/>
      <c r="L90" s="142">
        <v>0</v>
      </c>
      <c r="M90" s="51"/>
      <c r="N90" s="142">
        <f>'722 Bedford St'!E35+'722 Bedford St'!E36+'722 Bedford St'!E37-250000</f>
        <v>19565.100000000035</v>
      </c>
      <c r="O90" s="51"/>
      <c r="P90" s="56">
        <f t="shared" si="26"/>
        <v>2153597.4100000006</v>
      </c>
      <c r="Q90" s="51" t="s">
        <v>313</v>
      </c>
      <c r="R90" s="56">
        <v>0</v>
      </c>
      <c r="S90" s="56"/>
      <c r="T90" s="56">
        <f>'BPM 10.31.17'!S38</f>
        <v>33950.449999999997</v>
      </c>
      <c r="U90" s="56"/>
      <c r="V90" s="56">
        <v>0</v>
      </c>
      <c r="W90" s="56"/>
      <c r="X90" s="56">
        <f>'CNT Lending 10.31.17'!F30+'CNT Lending 10.31.17'!F31</f>
        <v>1544393.7</v>
      </c>
      <c r="Y90" s="56"/>
      <c r="Z90" s="56">
        <v>0</v>
      </c>
      <c r="AA90" s="56"/>
      <c r="AB90" s="56">
        <v>0</v>
      </c>
      <c r="AC90" s="56"/>
      <c r="AD90" s="56">
        <f>'722 Bedford St 10.31.17'!F30</f>
        <v>-77051.25</v>
      </c>
      <c r="AE90" s="56"/>
      <c r="AF90" s="56">
        <f t="shared" si="27"/>
        <v>1501292.9</v>
      </c>
      <c r="AG90" s="54" t="s">
        <v>313</v>
      </c>
      <c r="AH90" s="63">
        <f t="shared" si="24"/>
        <v>2153597.4100000006</v>
      </c>
      <c r="AI90" s="63"/>
      <c r="AJ90" s="63">
        <f t="shared" si="28"/>
        <v>1501292.9</v>
      </c>
      <c r="AK90" s="63"/>
      <c r="AL90" s="63">
        <f t="shared" si="25"/>
        <v>652304.51000000071</v>
      </c>
      <c r="AM90" s="63"/>
      <c r="AN90" s="59">
        <f>AH90/AJ90</f>
        <v>1.4344951674653232</v>
      </c>
      <c r="AO90" s="59"/>
      <c r="AP90" s="60">
        <f t="shared" si="30"/>
        <v>0.43449516746532324</v>
      </c>
    </row>
    <row r="91" spans="1:42" s="54" customFormat="1" ht="24.95" customHeight="1" x14ac:dyDescent="0.2">
      <c r="A91" s="54" t="s">
        <v>314</v>
      </c>
      <c r="B91" s="142">
        <f>CNT!S102</f>
        <v>0</v>
      </c>
      <c r="C91" s="56"/>
      <c r="D91" s="142">
        <v>0</v>
      </c>
      <c r="E91" s="56"/>
      <c r="F91" s="142">
        <v>0</v>
      </c>
      <c r="G91" s="56"/>
      <c r="H91" s="142"/>
      <c r="I91" s="51"/>
      <c r="J91" s="142">
        <v>0</v>
      </c>
      <c r="K91" s="51"/>
      <c r="L91" s="142">
        <v>0</v>
      </c>
      <c r="M91" s="51"/>
      <c r="N91" s="142">
        <v>0</v>
      </c>
      <c r="O91" s="51"/>
      <c r="P91" s="56">
        <f t="shared" si="26"/>
        <v>0</v>
      </c>
      <c r="Q91" s="51" t="s">
        <v>314</v>
      </c>
      <c r="R91" s="56">
        <v>0</v>
      </c>
      <c r="S91" s="56"/>
      <c r="T91" s="56">
        <v>0</v>
      </c>
      <c r="U91" s="56"/>
      <c r="V91" s="56">
        <v>0</v>
      </c>
      <c r="W91" s="56"/>
      <c r="X91" s="56">
        <v>0</v>
      </c>
      <c r="Y91" s="56"/>
      <c r="Z91" s="56">
        <v>0</v>
      </c>
      <c r="AA91" s="56"/>
      <c r="AB91" s="56">
        <v>0</v>
      </c>
      <c r="AC91" s="56"/>
      <c r="AD91" s="56">
        <v>0</v>
      </c>
      <c r="AE91" s="56"/>
      <c r="AF91" s="56">
        <f t="shared" si="27"/>
        <v>0</v>
      </c>
      <c r="AG91" s="54" t="s">
        <v>314</v>
      </c>
      <c r="AH91" s="63">
        <f t="shared" si="24"/>
        <v>0</v>
      </c>
      <c r="AI91" s="63"/>
      <c r="AJ91" s="63">
        <f t="shared" si="28"/>
        <v>0</v>
      </c>
      <c r="AK91" s="63"/>
      <c r="AL91" s="63">
        <f t="shared" si="25"/>
        <v>0</v>
      </c>
      <c r="AM91" s="63"/>
      <c r="AN91" s="59">
        <v>0</v>
      </c>
      <c r="AO91" s="59"/>
      <c r="AP91" s="60">
        <f t="shared" si="30"/>
        <v>-1</v>
      </c>
    </row>
    <row r="92" spans="1:42" s="54" customFormat="1" ht="24.95" customHeight="1" x14ac:dyDescent="0.2">
      <c r="A92" s="54" t="s">
        <v>606</v>
      </c>
      <c r="B92" s="142">
        <f>CNT!S104</f>
        <v>5115.68</v>
      </c>
      <c r="C92" s="56"/>
      <c r="D92" s="142">
        <v>0</v>
      </c>
      <c r="E92" s="56"/>
      <c r="F92" s="142">
        <v>0</v>
      </c>
      <c r="G92" s="56"/>
      <c r="H92" s="142">
        <v>0</v>
      </c>
      <c r="I92" s="51"/>
      <c r="J92" s="142">
        <v>0</v>
      </c>
      <c r="K92" s="51"/>
      <c r="L92" s="142">
        <v>0</v>
      </c>
      <c r="M92" s="51"/>
      <c r="N92" s="142">
        <v>0</v>
      </c>
      <c r="O92" s="51"/>
      <c r="P92" s="56">
        <f t="shared" si="26"/>
        <v>5115.68</v>
      </c>
      <c r="Q92" s="54" t="s">
        <v>606</v>
      </c>
      <c r="R92" s="56">
        <v>0</v>
      </c>
      <c r="S92" s="56"/>
      <c r="T92" s="56">
        <v>0</v>
      </c>
      <c r="U92" s="56"/>
      <c r="V92" s="56">
        <v>0</v>
      </c>
      <c r="W92" s="56"/>
      <c r="X92" s="56">
        <v>0</v>
      </c>
      <c r="Y92" s="56"/>
      <c r="Z92" s="56">
        <v>0</v>
      </c>
      <c r="AA92" s="56"/>
      <c r="AB92" s="56">
        <v>0</v>
      </c>
      <c r="AC92" s="56"/>
      <c r="AD92" s="56">
        <v>0</v>
      </c>
      <c r="AE92" s="56"/>
      <c r="AF92" s="56">
        <f t="shared" si="27"/>
        <v>0</v>
      </c>
      <c r="AG92" s="54" t="s">
        <v>606</v>
      </c>
      <c r="AH92" s="63">
        <f t="shared" si="24"/>
        <v>5115.68</v>
      </c>
      <c r="AI92" s="63"/>
      <c r="AJ92" s="63">
        <f t="shared" si="28"/>
        <v>0</v>
      </c>
      <c r="AK92" s="63"/>
      <c r="AL92" s="63">
        <f t="shared" si="25"/>
        <v>5115.68</v>
      </c>
      <c r="AM92" s="63"/>
      <c r="AN92" s="59">
        <v>0</v>
      </c>
      <c r="AO92" s="59"/>
      <c r="AP92" s="60">
        <f t="shared" si="30"/>
        <v>-1</v>
      </c>
    </row>
    <row r="93" spans="1:42" s="54" customFormat="1" ht="24.95" customHeight="1" x14ac:dyDescent="0.2">
      <c r="A93" s="54" t="s">
        <v>315</v>
      </c>
      <c r="B93" s="144">
        <f>CNT!S103</f>
        <v>0</v>
      </c>
      <c r="C93" s="66"/>
      <c r="D93" s="144">
        <v>0</v>
      </c>
      <c r="E93" s="66"/>
      <c r="F93" s="144">
        <v>0</v>
      </c>
      <c r="G93" s="66"/>
      <c r="H93" s="144">
        <v>0</v>
      </c>
      <c r="I93" s="67"/>
      <c r="J93" s="144">
        <v>0</v>
      </c>
      <c r="K93" s="67"/>
      <c r="L93" s="144">
        <v>0</v>
      </c>
      <c r="M93" s="67"/>
      <c r="N93" s="144">
        <v>0</v>
      </c>
      <c r="O93" s="67"/>
      <c r="P93" s="66">
        <f t="shared" si="26"/>
        <v>0</v>
      </c>
      <c r="Q93" s="51" t="s">
        <v>315</v>
      </c>
      <c r="R93" s="66">
        <v>0</v>
      </c>
      <c r="S93" s="66"/>
      <c r="T93" s="66">
        <v>0</v>
      </c>
      <c r="U93" s="66"/>
      <c r="V93" s="66">
        <v>0</v>
      </c>
      <c r="W93" s="66"/>
      <c r="X93" s="66">
        <v>0</v>
      </c>
      <c r="Y93" s="66"/>
      <c r="Z93" s="66">
        <v>0</v>
      </c>
      <c r="AA93" s="66"/>
      <c r="AB93" s="66">
        <v>0</v>
      </c>
      <c r="AC93" s="66"/>
      <c r="AD93" s="66">
        <v>0</v>
      </c>
      <c r="AE93" s="66"/>
      <c r="AF93" s="66">
        <f>SUM(R93:AD93)</f>
        <v>0</v>
      </c>
      <c r="AG93" s="54" t="s">
        <v>315</v>
      </c>
      <c r="AH93" s="68">
        <f t="shared" si="24"/>
        <v>0</v>
      </c>
      <c r="AI93" s="68"/>
      <c r="AJ93" s="68">
        <f t="shared" si="28"/>
        <v>0</v>
      </c>
      <c r="AK93" s="68"/>
      <c r="AL93" s="68">
        <f t="shared" si="25"/>
        <v>0</v>
      </c>
      <c r="AM93" s="63"/>
      <c r="AN93" s="59">
        <v>0</v>
      </c>
      <c r="AO93" s="59"/>
      <c r="AP93" s="60">
        <f t="shared" si="30"/>
        <v>-1</v>
      </c>
    </row>
    <row r="94" spans="1:42" s="54" customFormat="1" ht="24.95" customHeight="1" x14ac:dyDescent="0.2">
      <c r="A94" s="73" t="s">
        <v>316</v>
      </c>
      <c r="B94" s="142">
        <f>SUM(B64:B93)</f>
        <v>22907227.66</v>
      </c>
      <c r="C94" s="56"/>
      <c r="D94" s="142">
        <f>SUM(D64:D93)</f>
        <v>2249972.66</v>
      </c>
      <c r="E94" s="56"/>
      <c r="F94" s="142">
        <f>SUM(F64:F93)</f>
        <v>341413.01</v>
      </c>
      <c r="G94" s="56"/>
      <c r="H94" s="142">
        <f>SUM(H64:H93)</f>
        <v>307055.89</v>
      </c>
      <c r="I94" s="56"/>
      <c r="J94" s="142">
        <f>SUM(J64:J93)</f>
        <v>2214425.3400000003</v>
      </c>
      <c r="K94" s="56"/>
      <c r="L94" s="142">
        <f>SUM(L64:L93)</f>
        <v>91637.65</v>
      </c>
      <c r="M94" s="56"/>
      <c r="N94" s="142">
        <f>SUM(N64:N93)</f>
        <v>269565.10000000003</v>
      </c>
      <c r="O94" s="56"/>
      <c r="P94" s="61">
        <f>SUM(P64:P93)</f>
        <v>28381297.310000002</v>
      </c>
      <c r="Q94" s="75" t="s">
        <v>316</v>
      </c>
      <c r="R94" s="56">
        <f>SUM(R64:R93)</f>
        <v>13912521.35</v>
      </c>
      <c r="S94" s="56"/>
      <c r="T94" s="56">
        <f>SUM(T64:T93)</f>
        <v>780066.2699999999</v>
      </c>
      <c r="U94" s="56"/>
      <c r="V94" s="56">
        <f>SUM(V64:V93)</f>
        <v>21879.84</v>
      </c>
      <c r="W94" s="56"/>
      <c r="X94" s="56">
        <f>SUM(X64:X93)</f>
        <v>1553378.64</v>
      </c>
      <c r="Y94" s="56"/>
      <c r="Z94" s="56">
        <f>SUM(Z64:Z93)</f>
        <v>882429.44000000006</v>
      </c>
      <c r="AA94" s="56"/>
      <c r="AB94" s="56">
        <f>SUM(AB64:AB93)</f>
        <v>75896.180000000008</v>
      </c>
      <c r="AC94" s="56"/>
      <c r="AD94" s="56">
        <f>SUM(AD64:AD93)</f>
        <v>-74116.100000000006</v>
      </c>
      <c r="AE94" s="56"/>
      <c r="AF94" s="61">
        <f>SUM(AF64:AF93)</f>
        <v>17152055.620000001</v>
      </c>
      <c r="AG94" s="73" t="s">
        <v>316</v>
      </c>
      <c r="AH94" s="77">
        <f>SUM(AH64:AH93)</f>
        <v>28381297.310000002</v>
      </c>
      <c r="AI94" s="77"/>
      <c r="AJ94" s="77">
        <f>SUM(AJ64:AJ93)</f>
        <v>17152055.620000001</v>
      </c>
      <c r="AK94" s="77"/>
      <c r="AL94" s="77">
        <f>SUM(AL64:AL93)</f>
        <v>11229241.690000001</v>
      </c>
      <c r="AM94" s="77"/>
      <c r="AN94" s="59">
        <f>AH94/AJ94</f>
        <v>1.654687807618012</v>
      </c>
      <c r="AO94" s="59"/>
      <c r="AP94" s="60">
        <f t="shared" si="30"/>
        <v>0.65468780761801204</v>
      </c>
    </row>
    <row r="95" spans="1:42" s="54" customFormat="1" ht="24.95" customHeight="1" x14ac:dyDescent="0.2">
      <c r="B95" s="142"/>
      <c r="C95" s="56"/>
      <c r="D95" s="142"/>
      <c r="E95" s="56"/>
      <c r="F95" s="142"/>
      <c r="G95" s="56"/>
      <c r="H95" s="141"/>
      <c r="I95" s="51"/>
      <c r="J95" s="141"/>
      <c r="K95" s="51"/>
      <c r="L95" s="141"/>
      <c r="M95" s="51"/>
      <c r="N95" s="141"/>
      <c r="O95" s="51"/>
      <c r="P95" s="52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2"/>
      <c r="AN95" s="59"/>
      <c r="AO95" s="59"/>
      <c r="AP95" s="72"/>
    </row>
    <row r="96" spans="1:42" s="54" customFormat="1" ht="24.95" customHeight="1" x14ac:dyDescent="0.2">
      <c r="A96" s="50" t="s">
        <v>317</v>
      </c>
      <c r="B96" s="142"/>
      <c r="C96" s="56"/>
      <c r="D96" s="142"/>
      <c r="E96" s="56"/>
      <c r="F96" s="142"/>
      <c r="G96" s="56"/>
      <c r="H96" s="141"/>
      <c r="I96" s="51"/>
      <c r="J96" s="141"/>
      <c r="K96" s="51"/>
      <c r="L96" s="141"/>
      <c r="M96" s="51"/>
      <c r="N96" s="141"/>
      <c r="O96" s="51"/>
      <c r="P96" s="52"/>
      <c r="Q96" s="53" t="s">
        <v>317</v>
      </c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2"/>
      <c r="AG96" s="50" t="s">
        <v>317</v>
      </c>
      <c r="AN96" s="71"/>
      <c r="AO96" s="71"/>
      <c r="AP96" s="72"/>
    </row>
    <row r="97" spans="1:42" s="54" customFormat="1" ht="24.95" customHeight="1" x14ac:dyDescent="0.2">
      <c r="A97" s="54" t="s">
        <v>318</v>
      </c>
      <c r="B97" s="142">
        <v>0</v>
      </c>
      <c r="C97" s="56"/>
      <c r="D97" s="142">
        <v>0</v>
      </c>
      <c r="E97" s="56"/>
      <c r="F97" s="142">
        <v>0</v>
      </c>
      <c r="G97" s="56"/>
      <c r="H97" s="142">
        <v>0</v>
      </c>
      <c r="I97" s="56"/>
      <c r="J97" s="142">
        <v>0</v>
      </c>
      <c r="K97" s="56"/>
      <c r="L97" s="142">
        <v>0</v>
      </c>
      <c r="M97" s="56"/>
      <c r="N97" s="142">
        <v>0</v>
      </c>
      <c r="O97" s="56"/>
      <c r="P97" s="56">
        <f>SUM(B97:N97)</f>
        <v>0</v>
      </c>
      <c r="Q97" s="51" t="s">
        <v>318</v>
      </c>
      <c r="R97" s="56">
        <f>'CNT 10.31.17'!S87</f>
        <v>121279.17</v>
      </c>
      <c r="S97" s="56"/>
      <c r="T97" s="56">
        <v>0</v>
      </c>
      <c r="U97" s="56"/>
      <c r="V97" s="56">
        <v>0</v>
      </c>
      <c r="W97" s="56"/>
      <c r="X97" s="56">
        <v>0</v>
      </c>
      <c r="Y97" s="56"/>
      <c r="Z97" s="56">
        <f>'BSC 10.31.17'!F55</f>
        <v>1326118.43</v>
      </c>
      <c r="AA97" s="56"/>
      <c r="AB97" s="56">
        <f>'Oliari Co 10.31.17'!F69</f>
        <v>0</v>
      </c>
      <c r="AC97" s="56"/>
      <c r="AD97" s="56">
        <f>'Oliari Co 10.31.17'!H69</f>
        <v>0</v>
      </c>
      <c r="AE97" s="56"/>
      <c r="AF97" s="56">
        <f>SUM(R97:AD97)</f>
        <v>1447397.5999999999</v>
      </c>
      <c r="AG97" s="54" t="s">
        <v>318</v>
      </c>
      <c r="AH97" s="63">
        <f>P97</f>
        <v>0</v>
      </c>
      <c r="AI97" s="63"/>
      <c r="AJ97" s="63">
        <f>AF97</f>
        <v>1447397.5999999999</v>
      </c>
      <c r="AK97" s="63"/>
      <c r="AL97" s="63">
        <f>AH97-AJ97</f>
        <v>-1447397.5999999999</v>
      </c>
      <c r="AM97" s="63"/>
      <c r="AN97" s="59">
        <f t="shared" ref="AN97:AN102" si="32">AH97/AJ97</f>
        <v>0</v>
      </c>
      <c r="AO97" s="59"/>
      <c r="AP97" s="60">
        <f t="shared" ref="AP97:AP102" si="33">AN97-1</f>
        <v>-1</v>
      </c>
    </row>
    <row r="98" spans="1:42" s="54" customFormat="1" ht="24.95" customHeight="1" x14ac:dyDescent="0.2">
      <c r="A98" s="54" t="s">
        <v>319</v>
      </c>
      <c r="B98" s="142">
        <f>CNT!S108</f>
        <v>2447885.37</v>
      </c>
      <c r="C98" s="56"/>
      <c r="D98" s="142">
        <v>0</v>
      </c>
      <c r="E98" s="56"/>
      <c r="F98" s="142">
        <v>0</v>
      </c>
      <c r="G98" s="56"/>
      <c r="H98" s="142">
        <v>0</v>
      </c>
      <c r="I98" s="51"/>
      <c r="J98" s="142">
        <f>BSC!F58</f>
        <v>1038675.03</v>
      </c>
      <c r="K98" s="51"/>
      <c r="L98" s="142">
        <f>'Oliari Co'!F66</f>
        <v>247750</v>
      </c>
      <c r="M98" s="51"/>
      <c r="N98" s="142">
        <f>'722 Bedford St'!E44</f>
        <v>3563493</v>
      </c>
      <c r="O98" s="51"/>
      <c r="P98" s="56">
        <f>SUM(B98:N98)</f>
        <v>7297803.4000000004</v>
      </c>
      <c r="Q98" s="51" t="s">
        <v>319</v>
      </c>
      <c r="R98" s="56">
        <f>'CNT 10.31.17'!S88</f>
        <v>2398462.06</v>
      </c>
      <c r="S98" s="56"/>
      <c r="T98" s="56">
        <v>0</v>
      </c>
      <c r="U98" s="56"/>
      <c r="V98" s="56">
        <v>0</v>
      </c>
      <c r="W98" s="56"/>
      <c r="X98" s="56">
        <v>0</v>
      </c>
      <c r="Y98" s="56"/>
      <c r="Z98" s="56">
        <f>'BSC 10.31.17'!F54</f>
        <v>1038675.03</v>
      </c>
      <c r="AA98" s="56"/>
      <c r="AB98" s="56">
        <f>'Oliari Co 10.31.17'!F70</f>
        <v>247750</v>
      </c>
      <c r="AC98" s="56"/>
      <c r="AD98" s="56">
        <f>'722 Bedford St 10.31.17'!F36</f>
        <v>3563493</v>
      </c>
      <c r="AE98" s="56"/>
      <c r="AF98" s="56">
        <f>SUM(R98:AD98)</f>
        <v>7248380.0899999999</v>
      </c>
      <c r="AG98" s="54" t="s">
        <v>319</v>
      </c>
      <c r="AH98" s="63">
        <f>P98</f>
        <v>7297803.4000000004</v>
      </c>
      <c r="AI98" s="63"/>
      <c r="AJ98" s="63">
        <f>AF98</f>
        <v>7248380.0899999999</v>
      </c>
      <c r="AK98" s="63"/>
      <c r="AL98" s="63">
        <f>AH98-AJ98</f>
        <v>49423.310000000522</v>
      </c>
      <c r="AM98" s="63"/>
      <c r="AN98" s="59">
        <f t="shared" si="32"/>
        <v>1.0068185317803886</v>
      </c>
      <c r="AO98" s="59"/>
      <c r="AP98" s="60">
        <f t="shared" si="33"/>
        <v>6.8185317803886036E-3</v>
      </c>
    </row>
    <row r="99" spans="1:42" s="54" customFormat="1" ht="24.95" customHeight="1" x14ac:dyDescent="0.2">
      <c r="A99" s="54" t="s">
        <v>320</v>
      </c>
      <c r="B99" s="142">
        <f>CNT!S109</f>
        <v>16140.54</v>
      </c>
      <c r="C99" s="56"/>
      <c r="D99" s="142">
        <v>0</v>
      </c>
      <c r="E99" s="56"/>
      <c r="F99" s="142">
        <v>0</v>
      </c>
      <c r="G99" s="56"/>
      <c r="H99" s="142">
        <v>0</v>
      </c>
      <c r="I99" s="51"/>
      <c r="J99" s="142">
        <v>0</v>
      </c>
      <c r="K99" s="51"/>
      <c r="L99" s="142">
        <v>0</v>
      </c>
      <c r="M99" s="51"/>
      <c r="N99" s="142">
        <f>'722 Bedford St'!E41</f>
        <v>819709.5</v>
      </c>
      <c r="O99" s="51"/>
      <c r="P99" s="56">
        <f>SUM(B99:N99)</f>
        <v>835850.04</v>
      </c>
      <c r="Q99" s="51" t="s">
        <v>320</v>
      </c>
      <c r="R99" s="56">
        <f>'CNT 10.31.17'!S89</f>
        <v>15829.65</v>
      </c>
      <c r="S99" s="56"/>
      <c r="T99" s="56">
        <v>0</v>
      </c>
      <c r="U99" s="56"/>
      <c r="V99" s="56">
        <v>0</v>
      </c>
      <c r="W99" s="56"/>
      <c r="X99" s="56">
        <v>0</v>
      </c>
      <c r="Y99" s="56"/>
      <c r="Z99" s="56">
        <v>0</v>
      </c>
      <c r="AA99" s="56"/>
      <c r="AB99" s="56">
        <v>0</v>
      </c>
      <c r="AC99" s="56"/>
      <c r="AD99" s="56">
        <f>'722 Bedford St 10.31.17'!F33</f>
        <v>819709.5</v>
      </c>
      <c r="AE99" s="56"/>
      <c r="AF99" s="56">
        <f>SUM(R99:AD99)</f>
        <v>835539.15</v>
      </c>
      <c r="AG99" s="54" t="s">
        <v>320</v>
      </c>
      <c r="AH99" s="63">
        <f>P99</f>
        <v>835850.04</v>
      </c>
      <c r="AI99" s="63"/>
      <c r="AJ99" s="63">
        <f>AF99</f>
        <v>835539.15</v>
      </c>
      <c r="AK99" s="63"/>
      <c r="AL99" s="63">
        <f>AH99-AJ99</f>
        <v>310.89000000001397</v>
      </c>
      <c r="AM99" s="63"/>
      <c r="AN99" s="59">
        <f t="shared" si="32"/>
        <v>1.0003720831034668</v>
      </c>
      <c r="AO99" s="59"/>
      <c r="AP99" s="60">
        <f t="shared" si="33"/>
        <v>3.7208310346681372E-4</v>
      </c>
    </row>
    <row r="100" spans="1:42" s="54" customFormat="1" ht="24.95" customHeight="1" x14ac:dyDescent="0.2">
      <c r="A100" s="54" t="s">
        <v>321</v>
      </c>
      <c r="B100" s="142">
        <f>CNT!S110</f>
        <v>4186.33</v>
      </c>
      <c r="C100" s="56"/>
      <c r="D100" s="142">
        <v>0</v>
      </c>
      <c r="E100" s="56"/>
      <c r="F100" s="142">
        <v>0</v>
      </c>
      <c r="G100" s="56"/>
      <c r="H100" s="142">
        <v>0</v>
      </c>
      <c r="I100" s="51"/>
      <c r="J100" s="142">
        <v>0</v>
      </c>
      <c r="K100" s="51"/>
      <c r="L100" s="142">
        <v>0</v>
      </c>
      <c r="M100" s="51"/>
      <c r="N100" s="142">
        <f>'722 Bedford St'!E42</f>
        <v>825953</v>
      </c>
      <c r="O100" s="51"/>
      <c r="P100" s="56">
        <f>SUM(B100:N100)</f>
        <v>830139.33</v>
      </c>
      <c r="Q100" s="51" t="s">
        <v>321</v>
      </c>
      <c r="R100" s="56">
        <f>'CNT 10.31.17'!S90</f>
        <v>4106.17</v>
      </c>
      <c r="S100" s="56"/>
      <c r="T100" s="56">
        <v>0</v>
      </c>
      <c r="U100" s="56"/>
      <c r="V100" s="56">
        <v>0</v>
      </c>
      <c r="W100" s="56"/>
      <c r="X100" s="56">
        <v>0</v>
      </c>
      <c r="Y100" s="56"/>
      <c r="Z100" s="56">
        <v>0</v>
      </c>
      <c r="AA100" s="56"/>
      <c r="AB100" s="56">
        <v>0</v>
      </c>
      <c r="AC100" s="56"/>
      <c r="AD100" s="56">
        <f>'722 Bedford St 10.31.17'!F34</f>
        <v>825953</v>
      </c>
      <c r="AE100" s="56"/>
      <c r="AF100" s="56">
        <f>SUM(R100:AD100)</f>
        <v>830059.17</v>
      </c>
      <c r="AG100" s="54" t="s">
        <v>321</v>
      </c>
      <c r="AH100" s="63">
        <f>P100</f>
        <v>830139.33</v>
      </c>
      <c r="AI100" s="63"/>
      <c r="AJ100" s="63">
        <f>AF100</f>
        <v>830059.17</v>
      </c>
      <c r="AK100" s="63"/>
      <c r="AL100" s="63">
        <f>AH100-AJ100</f>
        <v>80.159999999916181</v>
      </c>
      <c r="AM100" s="63"/>
      <c r="AN100" s="59">
        <f t="shared" si="32"/>
        <v>1.0000965714287573</v>
      </c>
      <c r="AO100" s="59"/>
      <c r="AP100" s="60">
        <f t="shared" si="33"/>
        <v>9.6571428757297184E-5</v>
      </c>
    </row>
    <row r="101" spans="1:42" s="54" customFormat="1" ht="24.95" customHeight="1" x14ac:dyDescent="0.2">
      <c r="A101" s="54" t="s">
        <v>322</v>
      </c>
      <c r="B101" s="144">
        <f>CNT!S111</f>
        <v>19096.16</v>
      </c>
      <c r="C101" s="66"/>
      <c r="D101" s="144">
        <v>0</v>
      </c>
      <c r="E101" s="66"/>
      <c r="F101" s="144">
        <v>0</v>
      </c>
      <c r="G101" s="66"/>
      <c r="H101" s="144">
        <v>0</v>
      </c>
      <c r="I101" s="67"/>
      <c r="J101" s="144">
        <v>0</v>
      </c>
      <c r="K101" s="67"/>
      <c r="L101" s="144">
        <v>0</v>
      </c>
      <c r="M101" s="67"/>
      <c r="N101" s="144">
        <f>'722 Bedford St'!E43</f>
        <v>656846.65</v>
      </c>
      <c r="O101" s="67"/>
      <c r="P101" s="66">
        <f>SUM(B101:N101)</f>
        <v>675942.81</v>
      </c>
      <c r="Q101" s="51" t="s">
        <v>322</v>
      </c>
      <c r="R101" s="66">
        <f>'CNT 10.31.17'!S91</f>
        <v>18728.580000000002</v>
      </c>
      <c r="S101" s="66"/>
      <c r="T101" s="66">
        <v>0</v>
      </c>
      <c r="U101" s="66"/>
      <c r="V101" s="66">
        <v>0</v>
      </c>
      <c r="W101" s="66"/>
      <c r="X101" s="66">
        <v>0</v>
      </c>
      <c r="Y101" s="66"/>
      <c r="Z101" s="66">
        <v>0</v>
      </c>
      <c r="AA101" s="66"/>
      <c r="AB101" s="66">
        <v>0</v>
      </c>
      <c r="AC101" s="66"/>
      <c r="AD101" s="66">
        <f>'722 Bedford St 10.31.17'!F35</f>
        <v>656846.65</v>
      </c>
      <c r="AE101" s="66"/>
      <c r="AF101" s="66">
        <f>SUM(R101:AD101)</f>
        <v>675575.23</v>
      </c>
      <c r="AG101" s="54" t="s">
        <v>322</v>
      </c>
      <c r="AH101" s="68">
        <f>P101</f>
        <v>675942.81</v>
      </c>
      <c r="AI101" s="68"/>
      <c r="AJ101" s="68">
        <f>AF101</f>
        <v>675575.23</v>
      </c>
      <c r="AK101" s="68"/>
      <c r="AL101" s="68">
        <f>AH101-AJ101</f>
        <v>367.58000000007451</v>
      </c>
      <c r="AM101" s="63"/>
      <c r="AN101" s="59">
        <f t="shared" si="32"/>
        <v>1.0005440992855823</v>
      </c>
      <c r="AO101" s="59"/>
      <c r="AP101" s="60">
        <f t="shared" si="33"/>
        <v>5.4409928558230014E-4</v>
      </c>
    </row>
    <row r="102" spans="1:42" s="54" customFormat="1" ht="24.95" customHeight="1" x14ac:dyDescent="0.2">
      <c r="A102" s="73" t="s">
        <v>323</v>
      </c>
      <c r="B102" s="142">
        <f>SUM(B97:B101)</f>
        <v>2487308.4000000004</v>
      </c>
      <c r="C102" s="56"/>
      <c r="D102" s="142">
        <f>SUM(D97:D101)</f>
        <v>0</v>
      </c>
      <c r="E102" s="56"/>
      <c r="F102" s="142">
        <f>SUM(F97:F101)</f>
        <v>0</v>
      </c>
      <c r="G102" s="56"/>
      <c r="H102" s="142">
        <f>SUM(H97:H101)</f>
        <v>0</v>
      </c>
      <c r="I102" s="56"/>
      <c r="J102" s="142">
        <f>SUM(J97:J101)</f>
        <v>1038675.03</v>
      </c>
      <c r="K102" s="56"/>
      <c r="L102" s="142">
        <f>SUM(L97:L101)</f>
        <v>247750</v>
      </c>
      <c r="M102" s="56"/>
      <c r="N102" s="142">
        <f>SUM(N97:N101)</f>
        <v>5866002.1500000004</v>
      </c>
      <c r="O102" s="56"/>
      <c r="P102" s="56">
        <f>SUM(P97:P101)</f>
        <v>9639735.5800000001</v>
      </c>
      <c r="Q102" s="75" t="s">
        <v>323</v>
      </c>
      <c r="R102" s="56">
        <f>SUM(R97:R101)</f>
        <v>2558405.63</v>
      </c>
      <c r="S102" s="56"/>
      <c r="T102" s="56">
        <f>SUM(T97:T101)</f>
        <v>0</v>
      </c>
      <c r="U102" s="56"/>
      <c r="V102" s="56">
        <f>SUM(V97:V101)</f>
        <v>0</v>
      </c>
      <c r="W102" s="56"/>
      <c r="X102" s="56">
        <f>SUM(X97:X101)</f>
        <v>0</v>
      </c>
      <c r="Y102" s="56"/>
      <c r="Z102" s="56">
        <f>SUM(Z97:Z101)</f>
        <v>2364793.46</v>
      </c>
      <c r="AA102" s="56"/>
      <c r="AB102" s="56">
        <f>SUM(AB97:AB101)</f>
        <v>247750</v>
      </c>
      <c r="AC102" s="56"/>
      <c r="AD102" s="56">
        <f>SUM(AD97:AD101)</f>
        <v>5866002.1500000004</v>
      </c>
      <c r="AE102" s="56"/>
      <c r="AF102" s="56">
        <f>SUM(AF97:AF101)</f>
        <v>11036951.24</v>
      </c>
      <c r="AG102" s="73" t="s">
        <v>323</v>
      </c>
      <c r="AH102" s="58">
        <f>SUM(AH97:AH101)</f>
        <v>9639735.5800000001</v>
      </c>
      <c r="AI102" s="58"/>
      <c r="AJ102" s="58">
        <f>SUM(AJ97:AJ101)</f>
        <v>11036951.24</v>
      </c>
      <c r="AK102" s="58"/>
      <c r="AL102" s="58">
        <f>SUM(AL97:AL101)</f>
        <v>-1397215.6599999995</v>
      </c>
      <c r="AM102" s="58"/>
      <c r="AN102" s="59">
        <f t="shared" si="32"/>
        <v>0.87340565074381904</v>
      </c>
      <c r="AO102" s="59"/>
      <c r="AP102" s="60">
        <f t="shared" si="33"/>
        <v>-0.12659434925618096</v>
      </c>
    </row>
    <row r="103" spans="1:42" s="54" customFormat="1" ht="24.95" customHeight="1" x14ac:dyDescent="0.2">
      <c r="A103" s="73"/>
      <c r="B103" s="142"/>
      <c r="C103" s="56"/>
      <c r="D103" s="142"/>
      <c r="E103" s="56"/>
      <c r="F103" s="142"/>
      <c r="G103" s="56"/>
      <c r="H103" s="142"/>
      <c r="I103" s="56"/>
      <c r="J103" s="142"/>
      <c r="K103" s="56"/>
      <c r="L103" s="142"/>
      <c r="M103" s="56"/>
      <c r="N103" s="141"/>
      <c r="O103" s="56"/>
      <c r="P103" s="52"/>
      <c r="Q103" s="75"/>
      <c r="R103" s="56"/>
      <c r="S103" s="56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2"/>
      <c r="AG103" s="73"/>
      <c r="AN103" s="71"/>
      <c r="AO103" s="71"/>
      <c r="AP103" s="60"/>
    </row>
    <row r="104" spans="1:42" s="54" customFormat="1" ht="24.95" customHeight="1" x14ac:dyDescent="0.2">
      <c r="A104" s="84" t="s">
        <v>324</v>
      </c>
      <c r="B104" s="145">
        <f>B102+B94</f>
        <v>25394536.060000002</v>
      </c>
      <c r="C104" s="74"/>
      <c r="D104" s="145">
        <f>D102+D94</f>
        <v>2249972.66</v>
      </c>
      <c r="E104" s="74"/>
      <c r="F104" s="145">
        <f>F102+F94</f>
        <v>341413.01</v>
      </c>
      <c r="G104" s="74"/>
      <c r="H104" s="145">
        <f>H102+H94</f>
        <v>307055.89</v>
      </c>
      <c r="I104" s="74"/>
      <c r="J104" s="145">
        <f>J102+J94</f>
        <v>3253100.37</v>
      </c>
      <c r="K104" s="74"/>
      <c r="L104" s="145">
        <f>L102+L94</f>
        <v>339387.65</v>
      </c>
      <c r="M104" s="74"/>
      <c r="N104" s="145">
        <f>N102+N94</f>
        <v>6135567.25</v>
      </c>
      <c r="O104" s="74"/>
      <c r="P104" s="74">
        <f>P102+P94</f>
        <v>38021032.890000001</v>
      </c>
      <c r="Q104" s="85" t="s">
        <v>324</v>
      </c>
      <c r="R104" s="74">
        <f>R102+R94</f>
        <v>16470926.98</v>
      </c>
      <c r="S104" s="74"/>
      <c r="T104" s="74">
        <f>T102+T94</f>
        <v>780066.2699999999</v>
      </c>
      <c r="U104" s="74"/>
      <c r="V104" s="74">
        <f>V102+V94</f>
        <v>21879.84</v>
      </c>
      <c r="W104" s="74"/>
      <c r="X104" s="74">
        <f>X102+X94</f>
        <v>1553378.64</v>
      </c>
      <c r="Y104" s="74"/>
      <c r="Z104" s="74">
        <f>Z102+Z94</f>
        <v>3247222.9</v>
      </c>
      <c r="AA104" s="74"/>
      <c r="AB104" s="74">
        <f>AB102+AB94</f>
        <v>323646.18</v>
      </c>
      <c r="AC104" s="74"/>
      <c r="AD104" s="74">
        <f>AD102+AD94</f>
        <v>5791886.0500000007</v>
      </c>
      <c r="AE104" s="74"/>
      <c r="AF104" s="74">
        <f>AF102+AF94</f>
        <v>28189006.859999999</v>
      </c>
      <c r="AG104" s="84" t="s">
        <v>324</v>
      </c>
      <c r="AH104" s="76">
        <f>AH94+AH102</f>
        <v>38021032.890000001</v>
      </c>
      <c r="AI104" s="76"/>
      <c r="AJ104" s="76">
        <f>AJ94+AJ102</f>
        <v>28189006.859999999</v>
      </c>
      <c r="AK104" s="76"/>
      <c r="AL104" s="76">
        <f>AL94+AL102</f>
        <v>9832026.0300000012</v>
      </c>
      <c r="AM104" s="63"/>
      <c r="AN104" s="59">
        <f>AH104/AJ104</f>
        <v>1.3487893730641349</v>
      </c>
      <c r="AO104" s="59"/>
      <c r="AP104" s="60">
        <f>AN104-1</f>
        <v>0.34878937306413493</v>
      </c>
    </row>
    <row r="105" spans="1:42" s="54" customFormat="1" ht="24.95" customHeight="1" x14ac:dyDescent="0.2">
      <c r="B105" s="142"/>
      <c r="C105" s="56"/>
      <c r="D105" s="142"/>
      <c r="E105" s="56"/>
      <c r="F105" s="142"/>
      <c r="G105" s="56"/>
      <c r="H105" s="141"/>
      <c r="I105" s="51"/>
      <c r="J105" s="141"/>
      <c r="K105" s="51"/>
      <c r="L105" s="141"/>
      <c r="M105" s="51"/>
      <c r="N105" s="141"/>
      <c r="O105" s="51"/>
      <c r="P105" s="52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2"/>
      <c r="AN105" s="71"/>
      <c r="AO105" s="71"/>
      <c r="AP105" s="72"/>
    </row>
    <row r="106" spans="1:42" s="54" customFormat="1" ht="24.95" customHeight="1" x14ac:dyDescent="0.2">
      <c r="A106" s="50" t="s">
        <v>161</v>
      </c>
      <c r="B106" s="142"/>
      <c r="C106" s="56"/>
      <c r="D106" s="142"/>
      <c r="E106" s="56"/>
      <c r="F106" s="142"/>
      <c r="G106" s="56"/>
      <c r="H106" s="141"/>
      <c r="I106" s="51"/>
      <c r="J106" s="141"/>
      <c r="K106" s="51"/>
      <c r="L106" s="141"/>
      <c r="M106" s="51"/>
      <c r="N106" s="141"/>
      <c r="O106" s="51"/>
      <c r="P106" s="52"/>
      <c r="Q106" s="53" t="s">
        <v>161</v>
      </c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2"/>
      <c r="AG106" s="50" t="s">
        <v>161</v>
      </c>
      <c r="AN106" s="71"/>
      <c r="AO106" s="71"/>
      <c r="AP106" s="72"/>
    </row>
    <row r="107" spans="1:42" s="54" customFormat="1" ht="24.95" customHeight="1" x14ac:dyDescent="0.2">
      <c r="A107" s="54" t="s">
        <v>325</v>
      </c>
      <c r="B107" s="142">
        <f>CNT!S118</f>
        <v>152325</v>
      </c>
      <c r="C107" s="56"/>
      <c r="D107" s="142">
        <v>0</v>
      </c>
      <c r="E107" s="56"/>
      <c r="F107" s="142">
        <f>DEP!S48</f>
        <v>1000</v>
      </c>
      <c r="G107" s="56"/>
      <c r="H107" s="142">
        <v>0</v>
      </c>
      <c r="I107" s="56"/>
      <c r="J107" s="142">
        <f>BSC!F63</f>
        <v>25000.03</v>
      </c>
      <c r="K107" s="56"/>
      <c r="L107" s="142">
        <v>0</v>
      </c>
      <c r="M107" s="56"/>
      <c r="N107" s="142">
        <v>0</v>
      </c>
      <c r="O107" s="56"/>
      <c r="P107" s="56">
        <f>SUM(B107:N107)</f>
        <v>178325.03</v>
      </c>
      <c r="Q107" s="51" t="s">
        <v>325</v>
      </c>
      <c r="R107" s="56">
        <f>'CNT 10.31.17'!S97</f>
        <v>152325</v>
      </c>
      <c r="S107" s="56"/>
      <c r="T107" s="56">
        <v>0</v>
      </c>
      <c r="U107" s="56"/>
      <c r="V107" s="56">
        <f>'DEP 10.31.17'!S41</f>
        <v>1000</v>
      </c>
      <c r="W107" s="56"/>
      <c r="X107" s="56">
        <v>0</v>
      </c>
      <c r="Y107" s="56"/>
      <c r="Z107" s="56">
        <f>'BSC 10.31.17'!F59</f>
        <v>25000.03</v>
      </c>
      <c r="AA107" s="56"/>
      <c r="AB107" s="56">
        <v>0</v>
      </c>
      <c r="AC107" s="56"/>
      <c r="AD107" s="56">
        <v>0</v>
      </c>
      <c r="AE107" s="56"/>
      <c r="AF107" s="56">
        <f>SUM(R107:AD107)</f>
        <v>178325.03</v>
      </c>
      <c r="AG107" s="54" t="s">
        <v>325</v>
      </c>
      <c r="AH107" s="63">
        <f t="shared" ref="AH107:AH118" si="34">P107</f>
        <v>178325.03</v>
      </c>
      <c r="AI107" s="63"/>
      <c r="AJ107" s="63">
        <f>AF107</f>
        <v>178325.03</v>
      </c>
      <c r="AK107" s="63"/>
      <c r="AL107" s="63">
        <f t="shared" ref="AL107:AL118" si="35">AH107-AJ107</f>
        <v>0</v>
      </c>
      <c r="AM107" s="63"/>
      <c r="AN107" s="59">
        <f t="shared" ref="AN107:AN121" si="36">AH107/AJ107</f>
        <v>1</v>
      </c>
      <c r="AO107" s="59"/>
      <c r="AP107" s="60">
        <f t="shared" ref="AP107:AP121" si="37">AN107-1</f>
        <v>0</v>
      </c>
    </row>
    <row r="108" spans="1:42" s="54" customFormat="1" ht="24.95" customHeight="1" x14ac:dyDescent="0.2">
      <c r="A108" s="54" t="s">
        <v>326</v>
      </c>
      <c r="B108" s="142">
        <f>CNT!S119</f>
        <v>1709758</v>
      </c>
      <c r="C108" s="56"/>
      <c r="D108" s="142">
        <v>0</v>
      </c>
      <c r="E108" s="56"/>
      <c r="F108" s="142">
        <v>0</v>
      </c>
      <c r="G108" s="56"/>
      <c r="H108" s="142">
        <v>0</v>
      </c>
      <c r="I108" s="56"/>
      <c r="J108" s="142">
        <v>0</v>
      </c>
      <c r="K108" s="56"/>
      <c r="L108" s="142">
        <v>0</v>
      </c>
      <c r="M108" s="56"/>
      <c r="N108" s="142">
        <v>0</v>
      </c>
      <c r="O108" s="56"/>
      <c r="P108" s="56">
        <f t="shared" ref="P108:P118" si="38">SUM(B108:N108)</f>
        <v>1709758</v>
      </c>
      <c r="Q108" s="51" t="s">
        <v>326</v>
      </c>
      <c r="R108" s="56">
        <f>'CNT 10.31.17'!S98</f>
        <v>1709758</v>
      </c>
      <c r="S108" s="56"/>
      <c r="T108" s="56">
        <v>0</v>
      </c>
      <c r="U108" s="56"/>
      <c r="V108" s="56">
        <v>0</v>
      </c>
      <c r="W108" s="56"/>
      <c r="X108" s="56">
        <v>0</v>
      </c>
      <c r="Y108" s="56"/>
      <c r="Z108" s="56">
        <v>0</v>
      </c>
      <c r="AA108" s="56"/>
      <c r="AB108" s="56">
        <v>0</v>
      </c>
      <c r="AC108" s="56"/>
      <c r="AD108" s="56">
        <v>0</v>
      </c>
      <c r="AE108" s="56"/>
      <c r="AF108" s="56">
        <f t="shared" ref="AF108:AF117" si="39">SUM(R108:AD108)</f>
        <v>1709758</v>
      </c>
      <c r="AG108" s="54" t="s">
        <v>326</v>
      </c>
      <c r="AH108" s="63">
        <f t="shared" si="34"/>
        <v>1709758</v>
      </c>
      <c r="AI108" s="63"/>
      <c r="AJ108" s="63">
        <f t="shared" ref="AJ108:AJ118" si="40">AF108</f>
        <v>1709758</v>
      </c>
      <c r="AK108" s="63"/>
      <c r="AL108" s="63">
        <f t="shared" si="35"/>
        <v>0</v>
      </c>
      <c r="AM108" s="63"/>
      <c r="AN108" s="59">
        <f t="shared" si="36"/>
        <v>1</v>
      </c>
      <c r="AO108" s="59"/>
      <c r="AP108" s="60">
        <f t="shared" si="37"/>
        <v>0</v>
      </c>
    </row>
    <row r="109" spans="1:42" s="54" customFormat="1" ht="24.95" customHeight="1" x14ac:dyDescent="0.2">
      <c r="A109" s="54" t="s">
        <v>327</v>
      </c>
      <c r="B109" s="142">
        <f>CNT!S120</f>
        <v>-92924.359999999986</v>
      </c>
      <c r="C109" s="56"/>
      <c r="D109" s="142">
        <f>BPM!S53</f>
        <v>274297.06</v>
      </c>
      <c r="E109" s="56"/>
      <c r="F109" s="142">
        <f>DEP!S49</f>
        <v>857537.37</v>
      </c>
      <c r="G109" s="56"/>
      <c r="H109" s="142">
        <f>Lending!F42</f>
        <v>19931.37</v>
      </c>
      <c r="I109" s="56"/>
      <c r="J109" s="142">
        <f>BSC!F65</f>
        <v>-94654.93</v>
      </c>
      <c r="K109" s="56"/>
      <c r="L109" s="142">
        <f>'Oliari Co'!F89</f>
        <v>158691.93</v>
      </c>
      <c r="M109" s="56"/>
      <c r="N109" s="142">
        <f>'722 Bedford St'!E53</f>
        <v>23863.69</v>
      </c>
      <c r="O109" s="56"/>
      <c r="P109" s="56">
        <f t="shared" si="38"/>
        <v>1146742.1300000001</v>
      </c>
      <c r="Q109" s="51" t="s">
        <v>327</v>
      </c>
      <c r="R109" s="56">
        <f>'CNT 10.31.17'!S99</f>
        <v>-1019288.95</v>
      </c>
      <c r="S109" s="56"/>
      <c r="T109" s="56">
        <f>'BPM 10.31.17'!S44</f>
        <v>232284.16</v>
      </c>
      <c r="U109" s="56"/>
      <c r="V109" s="56">
        <f>'DEP 10.31.17'!S42</f>
        <v>736688.65</v>
      </c>
      <c r="W109" s="56"/>
      <c r="X109" s="56">
        <f>'CNT Lending 10.31.17'!F38</f>
        <v>60644.07</v>
      </c>
      <c r="Y109" s="56"/>
      <c r="Z109" s="56">
        <f>'BSC 10.31.17'!F61</f>
        <v>-95026.97</v>
      </c>
      <c r="AA109" s="56"/>
      <c r="AB109" s="56">
        <f>'Oliari Co 10.31.17'!F90</f>
        <v>300386.90000000002</v>
      </c>
      <c r="AC109" s="56"/>
      <c r="AD109" s="56">
        <f>'722 Bedford St 10.31.17'!F46</f>
        <v>96887.95</v>
      </c>
      <c r="AE109" s="56"/>
      <c r="AF109" s="56">
        <f t="shared" si="39"/>
        <v>312575.81000000011</v>
      </c>
      <c r="AG109" s="54" t="s">
        <v>327</v>
      </c>
      <c r="AH109" s="63">
        <f t="shared" si="34"/>
        <v>1146742.1300000001</v>
      </c>
      <c r="AI109" s="63"/>
      <c r="AJ109" s="63">
        <f t="shared" si="40"/>
        <v>312575.81000000011</v>
      </c>
      <c r="AK109" s="63"/>
      <c r="AL109" s="63">
        <f t="shared" si="35"/>
        <v>834166.32000000007</v>
      </c>
      <c r="AM109" s="63"/>
      <c r="AN109" s="59">
        <f t="shared" si="36"/>
        <v>3.6686848224115605</v>
      </c>
      <c r="AO109" s="59"/>
      <c r="AP109" s="135">
        <f t="shared" si="37"/>
        <v>2.6686848224115605</v>
      </c>
    </row>
    <row r="110" spans="1:42" s="54" customFormat="1" ht="24.95" customHeight="1" x14ac:dyDescent="0.2">
      <c r="A110" s="54" t="s">
        <v>328</v>
      </c>
      <c r="B110" s="142">
        <f>CNT!S121</f>
        <v>11135312.050000001</v>
      </c>
      <c r="C110" s="56"/>
      <c r="D110" s="142">
        <f>BPM!S54</f>
        <v>2078501.27</v>
      </c>
      <c r="E110" s="56"/>
      <c r="F110" s="142">
        <f>DEP!S50</f>
        <v>985578.95</v>
      </c>
      <c r="G110" s="56"/>
      <c r="H110" s="142">
        <f>Lending!F41</f>
        <v>377364.76</v>
      </c>
      <c r="I110" s="56"/>
      <c r="J110" s="142">
        <f>BSC!F64</f>
        <v>-1161233.3</v>
      </c>
      <c r="K110" s="56"/>
      <c r="L110" s="142">
        <f>'Oliari Co'!F75+'Oliari Co'!F82+'Oliari Co'!F83+'Oliari Co'!F88</f>
        <v>4762394.1099999994</v>
      </c>
      <c r="M110" s="56"/>
      <c r="N110" s="142">
        <f>'722 Bedford St'!E48+'722 Bedford St'!E49+'722 Bedford St'!E50+'722 Bedford St'!E51+'722 Bedford St'!E52</f>
        <v>2093080.8</v>
      </c>
      <c r="O110" s="56"/>
      <c r="P110" s="56">
        <f t="shared" si="38"/>
        <v>20270998.639999997</v>
      </c>
      <c r="Q110" s="51" t="s">
        <v>328</v>
      </c>
      <c r="R110" s="56">
        <f>'CNT 10.31.17'!S100</f>
        <v>18977863.780000001</v>
      </c>
      <c r="S110" s="56"/>
      <c r="T110" s="56">
        <f>'BPM 10.31.17'!S45</f>
        <v>1854902.66</v>
      </c>
      <c r="U110" s="56"/>
      <c r="V110" s="56">
        <f>'DEP 10.31.17'!S43</f>
        <v>620892.79</v>
      </c>
      <c r="W110" s="56"/>
      <c r="X110" s="56">
        <f>'CNT Lending 10.31.17'!F37</f>
        <v>308610.8</v>
      </c>
      <c r="Y110" s="56"/>
      <c r="Z110" s="56">
        <f>'BSC 10.31.17'!F60</f>
        <v>-1115049.08</v>
      </c>
      <c r="AA110" s="56"/>
      <c r="AB110" s="56">
        <f>'Oliari Co 10.31.17'!F91-'Oliari Co 10.31.17'!F90</f>
        <v>4721820.6099999994</v>
      </c>
      <c r="AC110" s="56"/>
      <c r="AD110" s="56">
        <f>'722 Bedford St 10.31.17'!F40+'722 Bedford St 10.31.17'!F41+'722 Bedford St 10.31.17'!F42+'722 Bedford St 10.31.17'!F43+'722 Bedford St 10.31.17'!F44+'722 Bedford St 10.31.17'!F45</f>
        <v>2132594.0699999998</v>
      </c>
      <c r="AE110" s="56"/>
      <c r="AF110" s="56">
        <f>SUM(R110:AD110)</f>
        <v>27501635.630000003</v>
      </c>
      <c r="AG110" s="54" t="s">
        <v>328</v>
      </c>
      <c r="AH110" s="63">
        <f t="shared" si="34"/>
        <v>20270998.639999997</v>
      </c>
      <c r="AI110" s="63"/>
      <c r="AJ110" s="63">
        <f t="shared" si="40"/>
        <v>27501635.630000003</v>
      </c>
      <c r="AK110" s="63"/>
      <c r="AL110" s="63">
        <f t="shared" si="35"/>
        <v>-7230636.9900000058</v>
      </c>
      <c r="AM110" s="63"/>
      <c r="AN110" s="59">
        <f t="shared" si="36"/>
        <v>0.73708338342929292</v>
      </c>
      <c r="AO110" s="59"/>
      <c r="AP110" s="60">
        <f t="shared" si="37"/>
        <v>-0.26291661657070708</v>
      </c>
    </row>
    <row r="111" spans="1:42" s="54" customFormat="1" ht="24.95" customHeight="1" x14ac:dyDescent="0.2">
      <c r="A111" s="54" t="s">
        <v>555</v>
      </c>
      <c r="B111" s="142">
        <f>CNT!S122</f>
        <v>21195.55</v>
      </c>
      <c r="C111" s="56"/>
      <c r="D111" s="142">
        <v>0</v>
      </c>
      <c r="E111" s="56"/>
      <c r="F111" s="142">
        <f>DEP!S51+DEP!S52+DEP!S53+DEP!S54+DEP!S55</f>
        <v>3181448.74</v>
      </c>
      <c r="G111" s="56"/>
      <c r="H111" s="142">
        <v>0</v>
      </c>
      <c r="I111" s="56"/>
      <c r="J111" s="142">
        <v>0</v>
      </c>
      <c r="K111" s="56"/>
      <c r="L111" s="142">
        <v>0</v>
      </c>
      <c r="M111" s="56"/>
      <c r="N111" s="142">
        <v>0</v>
      </c>
      <c r="O111" s="56"/>
      <c r="P111" s="56">
        <f t="shared" si="38"/>
        <v>3202644.29</v>
      </c>
      <c r="Q111" s="54" t="s">
        <v>555</v>
      </c>
      <c r="R111" s="56">
        <f>'CNT 10.31.17'!S101+'CNT 10.31.17'!S102+'CNT 10.31.17'!S103+'CNT 10.31.17'!S104+'CNT 10.31.17'!S105</f>
        <v>-3592625.35</v>
      </c>
      <c r="S111" s="56"/>
      <c r="T111" s="56">
        <v>0</v>
      </c>
      <c r="U111" s="56"/>
      <c r="V111" s="56">
        <f>'DEP 10.31.17'!S44+'DEP 10.31.17'!S45+'DEP 10.31.17'!S46+'DEP 10.31.17'!S47+'DEP 10.31.17'!S48</f>
        <v>2560555.9499999997</v>
      </c>
      <c r="W111" s="56"/>
      <c r="X111" s="56">
        <v>0</v>
      </c>
      <c r="Y111" s="56"/>
      <c r="Z111" s="56">
        <v>0</v>
      </c>
      <c r="AA111" s="56"/>
      <c r="AB111" s="56">
        <v>0</v>
      </c>
      <c r="AC111" s="56"/>
      <c r="AD111" s="56">
        <v>0</v>
      </c>
      <c r="AE111" s="56"/>
      <c r="AF111" s="56">
        <f>SUM(R111:AD111)</f>
        <v>-1032069.4000000004</v>
      </c>
      <c r="AG111" s="54" t="s">
        <v>555</v>
      </c>
      <c r="AH111" s="63">
        <f t="shared" si="34"/>
        <v>3202644.29</v>
      </c>
      <c r="AI111" s="63"/>
      <c r="AJ111" s="63">
        <f>AF111</f>
        <v>-1032069.4000000004</v>
      </c>
      <c r="AK111" s="63"/>
      <c r="AL111" s="63">
        <f t="shared" si="35"/>
        <v>4234713.6900000004</v>
      </c>
      <c r="AM111" s="63"/>
      <c r="AN111" s="59">
        <v>0</v>
      </c>
      <c r="AO111" s="59"/>
      <c r="AP111" s="60">
        <f>AN111-1</f>
        <v>-1</v>
      </c>
    </row>
    <row r="112" spans="1:42" s="54" customFormat="1" ht="24.95" customHeight="1" x14ac:dyDescent="0.2">
      <c r="A112" s="54" t="s">
        <v>329</v>
      </c>
      <c r="B112" s="142">
        <f>CNT!S123</f>
        <v>0</v>
      </c>
      <c r="C112" s="56"/>
      <c r="D112" s="142">
        <v>0</v>
      </c>
      <c r="E112" s="56"/>
      <c r="F112" s="142">
        <v>0</v>
      </c>
      <c r="G112" s="56"/>
      <c r="H112" s="142">
        <v>0</v>
      </c>
      <c r="I112" s="56"/>
      <c r="J112" s="142">
        <v>0</v>
      </c>
      <c r="K112" s="56"/>
      <c r="L112" s="142">
        <v>0</v>
      </c>
      <c r="M112" s="56"/>
      <c r="N112" s="142">
        <v>0</v>
      </c>
      <c r="O112" s="56"/>
      <c r="P112" s="56">
        <f t="shared" si="38"/>
        <v>0</v>
      </c>
      <c r="Q112" s="51" t="s">
        <v>329</v>
      </c>
      <c r="R112" s="56">
        <v>0</v>
      </c>
      <c r="S112" s="56"/>
      <c r="T112" s="56">
        <v>0</v>
      </c>
      <c r="U112" s="56"/>
      <c r="V112" s="56">
        <v>0</v>
      </c>
      <c r="W112" s="56"/>
      <c r="X112" s="56">
        <v>0</v>
      </c>
      <c r="Y112" s="56"/>
      <c r="Z112" s="56">
        <v>0</v>
      </c>
      <c r="AA112" s="56"/>
      <c r="AB112" s="56">
        <v>0</v>
      </c>
      <c r="AC112" s="56"/>
      <c r="AD112" s="56">
        <v>0</v>
      </c>
      <c r="AE112" s="56"/>
      <c r="AF112" s="56">
        <f t="shared" si="39"/>
        <v>0</v>
      </c>
      <c r="AG112" s="54" t="s">
        <v>329</v>
      </c>
      <c r="AH112" s="63">
        <f t="shared" si="34"/>
        <v>0</v>
      </c>
      <c r="AI112" s="63"/>
      <c r="AJ112" s="63">
        <f t="shared" si="40"/>
        <v>0</v>
      </c>
      <c r="AK112" s="63"/>
      <c r="AL112" s="63">
        <f t="shared" si="35"/>
        <v>0</v>
      </c>
      <c r="AM112" s="63"/>
      <c r="AN112" s="59" t="e">
        <f t="shared" si="36"/>
        <v>#DIV/0!</v>
      </c>
      <c r="AO112" s="59"/>
      <c r="AP112" s="60" t="e">
        <f t="shared" si="37"/>
        <v>#DIV/0!</v>
      </c>
    </row>
    <row r="113" spans="1:42" s="54" customFormat="1" ht="24.95" customHeight="1" x14ac:dyDescent="0.2">
      <c r="A113" s="54" t="s">
        <v>330</v>
      </c>
      <c r="B113" s="142">
        <v>0</v>
      </c>
      <c r="C113" s="56"/>
      <c r="D113" s="142">
        <v>0</v>
      </c>
      <c r="E113" s="56"/>
      <c r="F113" s="142">
        <v>0</v>
      </c>
      <c r="G113" s="56"/>
      <c r="H113" s="142">
        <v>0</v>
      </c>
      <c r="I113" s="56"/>
      <c r="J113" s="142">
        <v>0</v>
      </c>
      <c r="K113" s="56"/>
      <c r="L113" s="142">
        <v>0</v>
      </c>
      <c r="M113" s="56"/>
      <c r="N113" s="142">
        <v>0</v>
      </c>
      <c r="O113" s="56"/>
      <c r="P113" s="56">
        <f t="shared" si="38"/>
        <v>0</v>
      </c>
      <c r="Q113" s="51" t="s">
        <v>330</v>
      </c>
      <c r="R113" s="56">
        <v>0</v>
      </c>
      <c r="S113" s="56"/>
      <c r="T113" s="56">
        <v>0</v>
      </c>
      <c r="U113" s="56"/>
      <c r="V113" s="56">
        <v>0</v>
      </c>
      <c r="W113" s="56"/>
      <c r="X113" s="56">
        <v>0</v>
      </c>
      <c r="Y113" s="56"/>
      <c r="Z113" s="56">
        <v>0</v>
      </c>
      <c r="AA113" s="56"/>
      <c r="AB113" s="56">
        <v>0</v>
      </c>
      <c r="AC113" s="56"/>
      <c r="AD113" s="56">
        <v>0</v>
      </c>
      <c r="AE113" s="56"/>
      <c r="AF113" s="56">
        <f t="shared" si="39"/>
        <v>0</v>
      </c>
      <c r="AG113" s="54" t="s">
        <v>330</v>
      </c>
      <c r="AH113" s="63">
        <f t="shared" si="34"/>
        <v>0</v>
      </c>
      <c r="AI113" s="63"/>
      <c r="AJ113" s="63">
        <f t="shared" si="40"/>
        <v>0</v>
      </c>
      <c r="AK113" s="63"/>
      <c r="AL113" s="63">
        <f t="shared" si="35"/>
        <v>0</v>
      </c>
      <c r="AM113" s="63"/>
      <c r="AN113" s="59" t="e">
        <f t="shared" si="36"/>
        <v>#DIV/0!</v>
      </c>
      <c r="AO113" s="59"/>
      <c r="AP113" s="60" t="e">
        <f t="shared" si="37"/>
        <v>#DIV/0!</v>
      </c>
    </row>
    <row r="114" spans="1:42" s="54" customFormat="1" ht="24.95" customHeight="1" x14ac:dyDescent="0.2">
      <c r="A114" s="54" t="s">
        <v>331</v>
      </c>
      <c r="B114" s="142">
        <v>0</v>
      </c>
      <c r="C114" s="56"/>
      <c r="D114" s="142">
        <v>0</v>
      </c>
      <c r="E114" s="56"/>
      <c r="F114" s="142">
        <v>0</v>
      </c>
      <c r="G114" s="56"/>
      <c r="H114" s="142">
        <v>0</v>
      </c>
      <c r="I114" s="56"/>
      <c r="J114" s="142">
        <v>0</v>
      </c>
      <c r="K114" s="56"/>
      <c r="L114" s="142">
        <v>0</v>
      </c>
      <c r="M114" s="56"/>
      <c r="N114" s="142">
        <v>0</v>
      </c>
      <c r="O114" s="56"/>
      <c r="P114" s="56">
        <f t="shared" si="38"/>
        <v>0</v>
      </c>
      <c r="Q114" s="51" t="s">
        <v>331</v>
      </c>
      <c r="R114" s="56">
        <v>0</v>
      </c>
      <c r="S114" s="56"/>
      <c r="T114" s="56">
        <v>0</v>
      </c>
      <c r="U114" s="56"/>
      <c r="V114" s="56">
        <v>0</v>
      </c>
      <c r="W114" s="56"/>
      <c r="X114" s="56">
        <v>0</v>
      </c>
      <c r="Y114" s="56"/>
      <c r="Z114" s="56">
        <v>0</v>
      </c>
      <c r="AA114" s="56"/>
      <c r="AB114" s="56">
        <v>0</v>
      </c>
      <c r="AC114" s="56"/>
      <c r="AD114" s="56">
        <v>0</v>
      </c>
      <c r="AE114" s="56"/>
      <c r="AF114" s="56">
        <f t="shared" si="39"/>
        <v>0</v>
      </c>
      <c r="AG114" s="54" t="s">
        <v>331</v>
      </c>
      <c r="AH114" s="63">
        <f t="shared" si="34"/>
        <v>0</v>
      </c>
      <c r="AI114" s="63"/>
      <c r="AJ114" s="63">
        <f t="shared" si="40"/>
        <v>0</v>
      </c>
      <c r="AK114" s="63"/>
      <c r="AL114" s="63">
        <f t="shared" si="35"/>
        <v>0</v>
      </c>
      <c r="AM114" s="63"/>
      <c r="AN114" s="59" t="e">
        <f t="shared" si="36"/>
        <v>#DIV/0!</v>
      </c>
      <c r="AO114" s="59"/>
      <c r="AP114" s="60" t="e">
        <f t="shared" si="37"/>
        <v>#DIV/0!</v>
      </c>
    </row>
    <row r="115" spans="1:42" s="54" customFormat="1" ht="24.95" customHeight="1" x14ac:dyDescent="0.2">
      <c r="A115" s="54" t="s">
        <v>336</v>
      </c>
      <c r="B115" s="142">
        <v>0</v>
      </c>
      <c r="C115" s="56"/>
      <c r="D115" s="142">
        <v>0</v>
      </c>
      <c r="E115" s="56"/>
      <c r="F115" s="142">
        <v>0</v>
      </c>
      <c r="G115" s="56"/>
      <c r="H115" s="142">
        <v>0</v>
      </c>
      <c r="I115" s="56"/>
      <c r="J115" s="142">
        <v>0</v>
      </c>
      <c r="K115" s="56"/>
      <c r="L115" s="142">
        <v>0</v>
      </c>
      <c r="M115" s="56"/>
      <c r="N115" s="142">
        <v>0</v>
      </c>
      <c r="O115" s="56"/>
      <c r="P115" s="56">
        <f t="shared" si="38"/>
        <v>0</v>
      </c>
      <c r="Q115" s="51" t="s">
        <v>336</v>
      </c>
      <c r="R115" s="56">
        <v>0</v>
      </c>
      <c r="S115" s="56"/>
      <c r="T115" s="56">
        <v>0</v>
      </c>
      <c r="U115" s="56"/>
      <c r="V115" s="56">
        <v>0</v>
      </c>
      <c r="W115" s="56"/>
      <c r="X115" s="56">
        <v>0</v>
      </c>
      <c r="Y115" s="56"/>
      <c r="Z115" s="56">
        <v>0</v>
      </c>
      <c r="AA115" s="56"/>
      <c r="AB115" s="56">
        <v>0</v>
      </c>
      <c r="AC115" s="56"/>
      <c r="AD115" s="56">
        <v>0</v>
      </c>
      <c r="AE115" s="56"/>
      <c r="AF115" s="56">
        <f t="shared" si="39"/>
        <v>0</v>
      </c>
      <c r="AG115" s="54" t="s">
        <v>336</v>
      </c>
      <c r="AH115" s="63">
        <f t="shared" si="34"/>
        <v>0</v>
      </c>
      <c r="AI115" s="63"/>
      <c r="AJ115" s="63">
        <f t="shared" si="40"/>
        <v>0</v>
      </c>
      <c r="AK115" s="63"/>
      <c r="AL115" s="63">
        <f t="shared" si="35"/>
        <v>0</v>
      </c>
      <c r="AM115" s="63"/>
      <c r="AN115" s="59" t="e">
        <f t="shared" si="36"/>
        <v>#DIV/0!</v>
      </c>
      <c r="AO115" s="59"/>
      <c r="AP115" s="60" t="e">
        <f t="shared" si="37"/>
        <v>#DIV/0!</v>
      </c>
    </row>
    <row r="116" spans="1:42" s="54" customFormat="1" ht="24.95" customHeight="1" x14ac:dyDescent="0.2">
      <c r="A116" s="54" t="s">
        <v>332</v>
      </c>
      <c r="B116" s="142">
        <f>CNT!S124</f>
        <v>-6000</v>
      </c>
      <c r="C116" s="56"/>
      <c r="D116" s="142">
        <v>0</v>
      </c>
      <c r="E116" s="56"/>
      <c r="F116" s="142">
        <v>0</v>
      </c>
      <c r="G116" s="56"/>
      <c r="H116" s="142">
        <v>0</v>
      </c>
      <c r="I116" s="56"/>
      <c r="J116" s="142">
        <v>0</v>
      </c>
      <c r="K116" s="56"/>
      <c r="L116" s="142">
        <f>'Oliari Co'!F86</f>
        <v>-15000</v>
      </c>
      <c r="M116" s="56"/>
      <c r="N116" s="142">
        <v>0</v>
      </c>
      <c r="O116" s="56"/>
      <c r="P116" s="56">
        <f t="shared" si="38"/>
        <v>-21000</v>
      </c>
      <c r="Q116" s="51" t="s">
        <v>332</v>
      </c>
      <c r="R116" s="56">
        <v>0</v>
      </c>
      <c r="S116" s="56"/>
      <c r="T116" s="56">
        <v>0</v>
      </c>
      <c r="U116" s="56"/>
      <c r="V116" s="56">
        <v>0</v>
      </c>
      <c r="W116" s="56"/>
      <c r="X116" s="56">
        <v>0</v>
      </c>
      <c r="Y116" s="56"/>
      <c r="Z116" s="56">
        <v>0</v>
      </c>
      <c r="AA116" s="56"/>
      <c r="AB116" s="56">
        <v>0</v>
      </c>
      <c r="AC116" s="56"/>
      <c r="AD116" s="56">
        <v>0</v>
      </c>
      <c r="AE116" s="56"/>
      <c r="AF116" s="56">
        <f t="shared" si="39"/>
        <v>0</v>
      </c>
      <c r="AG116" s="54" t="s">
        <v>332</v>
      </c>
      <c r="AH116" s="63">
        <f t="shared" si="34"/>
        <v>-21000</v>
      </c>
      <c r="AI116" s="63"/>
      <c r="AJ116" s="63">
        <f t="shared" si="40"/>
        <v>0</v>
      </c>
      <c r="AK116" s="63"/>
      <c r="AL116" s="63">
        <f t="shared" si="35"/>
        <v>-21000</v>
      </c>
      <c r="AM116" s="63"/>
      <c r="AN116" s="59" t="e">
        <f t="shared" si="36"/>
        <v>#DIV/0!</v>
      </c>
      <c r="AO116" s="59"/>
      <c r="AP116" s="60" t="e">
        <f t="shared" si="37"/>
        <v>#DIV/0!</v>
      </c>
    </row>
    <row r="117" spans="1:42" s="54" customFormat="1" ht="24.95" customHeight="1" x14ac:dyDescent="0.2">
      <c r="A117" s="54" t="s">
        <v>333</v>
      </c>
      <c r="B117" s="142">
        <f>CNT!S125</f>
        <v>-6000</v>
      </c>
      <c r="C117" s="56"/>
      <c r="D117" s="142">
        <v>0</v>
      </c>
      <c r="E117" s="56"/>
      <c r="F117" s="142">
        <v>0</v>
      </c>
      <c r="G117" s="56"/>
      <c r="H117" s="142">
        <v>0</v>
      </c>
      <c r="I117" s="56"/>
      <c r="J117" s="142">
        <v>0</v>
      </c>
      <c r="K117" s="56"/>
      <c r="L117" s="142">
        <f>'Oliari Co'!F85</f>
        <v>-15000</v>
      </c>
      <c r="M117" s="56"/>
      <c r="N117" s="142">
        <v>0</v>
      </c>
      <c r="O117" s="56"/>
      <c r="P117" s="56">
        <f t="shared" si="38"/>
        <v>-21000</v>
      </c>
      <c r="Q117" s="51" t="s">
        <v>333</v>
      </c>
      <c r="R117" s="56">
        <v>0</v>
      </c>
      <c r="S117" s="56"/>
      <c r="T117" s="56">
        <v>0</v>
      </c>
      <c r="U117" s="56"/>
      <c r="V117" s="56">
        <v>0</v>
      </c>
      <c r="W117" s="56"/>
      <c r="X117" s="56">
        <v>0</v>
      </c>
      <c r="Y117" s="56"/>
      <c r="Z117" s="56">
        <v>0</v>
      </c>
      <c r="AA117" s="56"/>
      <c r="AB117" s="56">
        <v>0</v>
      </c>
      <c r="AC117" s="56"/>
      <c r="AD117" s="56">
        <v>0</v>
      </c>
      <c r="AE117" s="56"/>
      <c r="AF117" s="56">
        <f t="shared" si="39"/>
        <v>0</v>
      </c>
      <c r="AG117" s="54" t="s">
        <v>333</v>
      </c>
      <c r="AH117" s="63">
        <f t="shared" si="34"/>
        <v>-21000</v>
      </c>
      <c r="AI117" s="63"/>
      <c r="AJ117" s="63">
        <f t="shared" si="40"/>
        <v>0</v>
      </c>
      <c r="AK117" s="63"/>
      <c r="AL117" s="63">
        <f t="shared" si="35"/>
        <v>-21000</v>
      </c>
      <c r="AM117" s="63"/>
      <c r="AN117" s="59" t="e">
        <f t="shared" si="36"/>
        <v>#DIV/0!</v>
      </c>
      <c r="AO117" s="59"/>
      <c r="AP117" s="60" t="e">
        <f t="shared" si="37"/>
        <v>#DIV/0!</v>
      </c>
    </row>
    <row r="118" spans="1:42" s="54" customFormat="1" ht="24.95" customHeight="1" x14ac:dyDescent="0.2">
      <c r="A118" s="54" t="s">
        <v>334</v>
      </c>
      <c r="B118" s="144">
        <f>CNT!S126</f>
        <v>-6000</v>
      </c>
      <c r="C118" s="66"/>
      <c r="D118" s="144">
        <v>0</v>
      </c>
      <c r="E118" s="66"/>
      <c r="F118" s="144">
        <v>0</v>
      </c>
      <c r="G118" s="66"/>
      <c r="H118" s="144">
        <v>0</v>
      </c>
      <c r="I118" s="66"/>
      <c r="J118" s="144">
        <v>0</v>
      </c>
      <c r="K118" s="66"/>
      <c r="L118" s="144">
        <f>'Oliari Co'!F87</f>
        <v>-15000</v>
      </c>
      <c r="M118" s="66"/>
      <c r="N118" s="144">
        <v>0</v>
      </c>
      <c r="O118" s="66"/>
      <c r="P118" s="66">
        <f t="shared" si="38"/>
        <v>-21000</v>
      </c>
      <c r="Q118" s="51" t="s">
        <v>334</v>
      </c>
      <c r="R118" s="66">
        <v>0</v>
      </c>
      <c r="S118" s="66"/>
      <c r="T118" s="66">
        <v>0</v>
      </c>
      <c r="U118" s="66"/>
      <c r="V118" s="66">
        <v>0</v>
      </c>
      <c r="W118" s="66"/>
      <c r="X118" s="66">
        <v>0</v>
      </c>
      <c r="Y118" s="66"/>
      <c r="Z118" s="66">
        <v>0</v>
      </c>
      <c r="AA118" s="66"/>
      <c r="AB118" s="66">
        <v>0</v>
      </c>
      <c r="AC118" s="66"/>
      <c r="AD118" s="66">
        <v>0</v>
      </c>
      <c r="AE118" s="66"/>
      <c r="AF118" s="66">
        <f>SUM(R118:AD118)</f>
        <v>0</v>
      </c>
      <c r="AG118" s="54" t="s">
        <v>334</v>
      </c>
      <c r="AH118" s="68">
        <f t="shared" si="34"/>
        <v>-21000</v>
      </c>
      <c r="AI118" s="68"/>
      <c r="AJ118" s="68">
        <f t="shared" si="40"/>
        <v>0</v>
      </c>
      <c r="AK118" s="68"/>
      <c r="AL118" s="68">
        <f t="shared" si="35"/>
        <v>-21000</v>
      </c>
      <c r="AM118" s="63"/>
      <c r="AN118" s="59" t="e">
        <f t="shared" si="36"/>
        <v>#DIV/0!</v>
      </c>
      <c r="AO118" s="59"/>
      <c r="AP118" s="60" t="e">
        <f t="shared" si="37"/>
        <v>#DIV/0!</v>
      </c>
    </row>
    <row r="119" spans="1:42" s="54" customFormat="1" ht="24.95" customHeight="1" x14ac:dyDescent="0.2">
      <c r="A119" s="84" t="s">
        <v>335</v>
      </c>
      <c r="B119" s="142">
        <f>SUM(B107:B118)</f>
        <v>12907666.240000002</v>
      </c>
      <c r="C119" s="56"/>
      <c r="D119" s="142">
        <f>SUM(D107:D118)</f>
        <v>2352798.33</v>
      </c>
      <c r="E119" s="56"/>
      <c r="F119" s="142">
        <f>SUM(F107:F118)</f>
        <v>5025565.0600000005</v>
      </c>
      <c r="G119" s="56"/>
      <c r="H119" s="142">
        <f>SUM(H107:H118)</f>
        <v>397296.13</v>
      </c>
      <c r="I119" s="56"/>
      <c r="J119" s="142">
        <f>SUM(J107:J118)</f>
        <v>-1230888.2</v>
      </c>
      <c r="K119" s="56"/>
      <c r="L119" s="142">
        <f>SUM(L107:L118)</f>
        <v>4876086.0399999991</v>
      </c>
      <c r="M119" s="56"/>
      <c r="N119" s="142">
        <f>SUM(N107:N118)</f>
        <v>2116944.4900000002</v>
      </c>
      <c r="O119" s="56"/>
      <c r="P119" s="56">
        <f>SUM(P107:P118)</f>
        <v>26445468.089999996</v>
      </c>
      <c r="Q119" s="85" t="s">
        <v>335</v>
      </c>
      <c r="R119" s="56">
        <f>SUM(R107:R118)</f>
        <v>16228032.480000002</v>
      </c>
      <c r="S119" s="56"/>
      <c r="T119" s="56">
        <f>SUM(T107:T118)</f>
        <v>2087186.8199999998</v>
      </c>
      <c r="U119" s="56"/>
      <c r="V119" s="56">
        <f>SUM(V107:V118)</f>
        <v>3919137.3899999997</v>
      </c>
      <c r="W119" s="56"/>
      <c r="X119" s="56">
        <f>SUM(X107:X118)</f>
        <v>369254.87</v>
      </c>
      <c r="Y119" s="56"/>
      <c r="Z119" s="56">
        <f>SUM(Z107:Z118)</f>
        <v>-1185076.02</v>
      </c>
      <c r="AA119" s="56"/>
      <c r="AB119" s="56">
        <f>SUM(AB107:AB118)</f>
        <v>5022207.51</v>
      </c>
      <c r="AC119" s="56"/>
      <c r="AD119" s="56">
        <f>SUM(AD107:AD118)</f>
        <v>2229482.02</v>
      </c>
      <c r="AE119" s="56"/>
      <c r="AF119" s="56">
        <f>SUM(AF107:AF118)</f>
        <v>28670225.07</v>
      </c>
      <c r="AG119" s="84" t="s">
        <v>335</v>
      </c>
      <c r="AH119" s="77">
        <f>SUM(AH107:AH118)</f>
        <v>26445468.089999996</v>
      </c>
      <c r="AI119" s="77"/>
      <c r="AJ119" s="77">
        <f>SUM(AJ107:AJ118)</f>
        <v>28670225.07</v>
      </c>
      <c r="AK119" s="77"/>
      <c r="AL119" s="77">
        <f>SUM(AL107:AL118)</f>
        <v>-2224756.9800000051</v>
      </c>
      <c r="AM119" s="77"/>
      <c r="AN119" s="59">
        <f t="shared" si="36"/>
        <v>0.92240183065992221</v>
      </c>
      <c r="AO119" s="59"/>
      <c r="AP119" s="60">
        <f t="shared" si="37"/>
        <v>-7.7598169340077794E-2</v>
      </c>
    </row>
    <row r="120" spans="1:42" s="54" customFormat="1" ht="24.95" customHeight="1" x14ac:dyDescent="0.2">
      <c r="B120" s="142"/>
      <c r="C120" s="56"/>
      <c r="D120" s="142"/>
      <c r="E120" s="56"/>
      <c r="F120" s="142"/>
      <c r="G120" s="56"/>
      <c r="H120" s="141"/>
      <c r="I120" s="51"/>
      <c r="J120" s="141"/>
      <c r="K120" s="51"/>
      <c r="L120" s="141"/>
      <c r="M120" s="51"/>
      <c r="N120" s="141"/>
      <c r="O120" s="51"/>
      <c r="P120" s="52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2"/>
      <c r="AN120" s="59"/>
      <c r="AO120" s="59"/>
      <c r="AP120" s="72"/>
    </row>
    <row r="121" spans="1:42" s="54" customFormat="1" ht="24.95" customHeight="1" thickBot="1" x14ac:dyDescent="0.25">
      <c r="A121" s="50" t="s">
        <v>337</v>
      </c>
      <c r="B121" s="146">
        <f>SUM(B119,B102,B94)</f>
        <v>38302202.300000004</v>
      </c>
      <c r="C121" s="79"/>
      <c r="D121" s="146">
        <f>SUM(D119,D102,D94)</f>
        <v>4602770.99</v>
      </c>
      <c r="E121" s="79"/>
      <c r="F121" s="146">
        <f>SUM(F119,F102,F94)</f>
        <v>5366978.07</v>
      </c>
      <c r="G121" s="79"/>
      <c r="H121" s="146">
        <f>SUM(H119,H102,H94)</f>
        <v>704352.02</v>
      </c>
      <c r="I121" s="79"/>
      <c r="J121" s="146">
        <f>SUM(J119,J102,J94)</f>
        <v>2022212.1700000004</v>
      </c>
      <c r="K121" s="79"/>
      <c r="L121" s="146">
        <f>SUM(L119,L102,L94)</f>
        <v>5215473.6899999995</v>
      </c>
      <c r="M121" s="79"/>
      <c r="N121" s="146">
        <f>SUM(N119,N102,N94)</f>
        <v>8252511.7400000002</v>
      </c>
      <c r="O121" s="79"/>
      <c r="P121" s="79">
        <f>SUM(P119,P102,P94)</f>
        <v>64466500.979999997</v>
      </c>
      <c r="Q121" s="53" t="s">
        <v>337</v>
      </c>
      <c r="R121" s="79">
        <f>SUM(R119,R102,R94)</f>
        <v>32698959.460000001</v>
      </c>
      <c r="S121" s="79"/>
      <c r="T121" s="79">
        <f>SUM(T119,T102,T94)</f>
        <v>2867253.09</v>
      </c>
      <c r="U121" s="79"/>
      <c r="V121" s="79">
        <f>SUM(V119,V102,V94)</f>
        <v>3941017.2299999995</v>
      </c>
      <c r="W121" s="79"/>
      <c r="X121" s="79">
        <f>SUM(X119,X102,X94)</f>
        <v>1922633.5099999998</v>
      </c>
      <c r="Y121" s="80"/>
      <c r="Z121" s="80">
        <f>SUM(Z119,Z102,Z94)</f>
        <v>2062146.88</v>
      </c>
      <c r="AA121" s="80"/>
      <c r="AB121" s="80">
        <f>SUM(AB119,AB102,AB94)</f>
        <v>5345853.6899999995</v>
      </c>
      <c r="AC121" s="80"/>
      <c r="AD121" s="80">
        <f>SUM(AD119,AD102,AD94)</f>
        <v>8021368.0700000003</v>
      </c>
      <c r="AE121" s="80"/>
      <c r="AF121" s="79">
        <f>SUM(AF119,AF102,AF94)</f>
        <v>56859231.930000007</v>
      </c>
      <c r="AG121" s="50" t="s">
        <v>337</v>
      </c>
      <c r="AH121" s="81">
        <f>SUM(AH119,AH102,AH94)</f>
        <v>64466500.979999997</v>
      </c>
      <c r="AI121" s="81"/>
      <c r="AJ121" s="81">
        <f>SUM(AJ119,AJ102,AJ94)</f>
        <v>56859231.930000007</v>
      </c>
      <c r="AK121" s="81"/>
      <c r="AL121" s="81">
        <f>SUM(AL119,AL102,AL94)</f>
        <v>7607269.049999997</v>
      </c>
      <c r="AM121" s="82"/>
      <c r="AN121" s="59">
        <f t="shared" si="36"/>
        <v>1.1337912734974223</v>
      </c>
      <c r="AO121" s="59"/>
      <c r="AP121" s="60">
        <f t="shared" si="37"/>
        <v>0.13379127349742226</v>
      </c>
    </row>
    <row r="122" spans="1:42" ht="15.75" thickTop="1" x14ac:dyDescent="0.2">
      <c r="B122" s="147">
        <f>B121-B60</f>
        <v>0</v>
      </c>
      <c r="C122" s="48"/>
      <c r="D122" s="147">
        <f>D121-D60</f>
        <v>0</v>
      </c>
      <c r="E122" s="48"/>
      <c r="F122" s="147">
        <f>F121-F60</f>
        <v>0</v>
      </c>
      <c r="G122" s="48"/>
      <c r="H122" s="147">
        <f>H121-H60</f>
        <v>0</v>
      </c>
      <c r="I122" s="48"/>
      <c r="J122" s="147">
        <f>J121-J60</f>
        <v>0</v>
      </c>
      <c r="K122" s="48"/>
      <c r="L122" s="147">
        <f>L121-L60</f>
        <v>0</v>
      </c>
      <c r="M122" s="48"/>
      <c r="N122" s="147">
        <f>N121-N60</f>
        <v>0</v>
      </c>
      <c r="O122" s="48"/>
      <c r="P122" s="48">
        <f>P121-P60</f>
        <v>-6.7055225372314453E-8</v>
      </c>
      <c r="R122" s="48">
        <f>R121-R60</f>
        <v>0</v>
      </c>
      <c r="S122" s="48"/>
      <c r="T122" s="48">
        <f>T121-T60</f>
        <v>0</v>
      </c>
      <c r="U122" s="48"/>
      <c r="V122" s="48">
        <f>V121-V60</f>
        <v>0</v>
      </c>
      <c r="W122" s="48"/>
      <c r="X122" s="48">
        <f>X121-X60</f>
        <v>0</v>
      </c>
      <c r="Y122" s="48"/>
      <c r="Z122" s="48">
        <f>Z121-Z60</f>
        <v>0</v>
      </c>
      <c r="AA122" s="48"/>
      <c r="AB122" s="48">
        <f>AB121-AB60</f>
        <v>0</v>
      </c>
      <c r="AC122" s="48"/>
      <c r="AD122" s="48">
        <f>AD121-AD60</f>
        <v>0</v>
      </c>
      <c r="AE122" s="48"/>
      <c r="AF122" s="48">
        <f>AF121-AF60</f>
        <v>0</v>
      </c>
      <c r="AG122" s="8"/>
      <c r="AH122" s="8">
        <f>AH121-AH60</f>
        <v>-6.7055225372314453E-8</v>
      </c>
      <c r="AI122" s="8"/>
      <c r="AJ122" s="8">
        <f>AJ121-AJ60</f>
        <v>0</v>
      </c>
      <c r="AK122" s="8"/>
      <c r="AL122" s="8">
        <f>AL121-AL60</f>
        <v>-2.4214386940002441E-8</v>
      </c>
      <c r="AM122" s="8"/>
      <c r="AN122" s="23">
        <f>AN121-AN60</f>
        <v>0</v>
      </c>
      <c r="AO122" s="8"/>
      <c r="AP122" s="8">
        <f>AP121-AP60</f>
        <v>-8.8817841970012523E-16</v>
      </c>
    </row>
    <row r="123" spans="1:42" x14ac:dyDescent="0.2">
      <c r="B123" s="147">
        <f>B121-CNT!U129</f>
        <v>0</v>
      </c>
      <c r="C123" s="48"/>
      <c r="D123" s="147">
        <f>D121-BPM!U59</f>
        <v>0</v>
      </c>
      <c r="E123" s="48"/>
      <c r="F123" s="147">
        <f>F121-DEP!U58</f>
        <v>0</v>
      </c>
      <c r="G123" s="48"/>
      <c r="H123" s="148">
        <f>H121-Lending!F44</f>
        <v>0</v>
      </c>
      <c r="J123" s="148">
        <f>J121-BSC!F67</f>
        <v>0</v>
      </c>
      <c r="L123" s="148">
        <f>L121-'Oliari Co'!F91</f>
        <v>0</v>
      </c>
      <c r="N123" s="148">
        <f>N121-'722 Bedford St'!E55</f>
        <v>0</v>
      </c>
      <c r="P123" s="49">
        <f>P121-SUM(B121:N121)</f>
        <v>0</v>
      </c>
    </row>
    <row r="126" spans="1:42" x14ac:dyDescent="0.2">
      <c r="A126" s="128" t="s">
        <v>540</v>
      </c>
    </row>
    <row r="127" spans="1:42" x14ac:dyDescent="0.2">
      <c r="A127" s="132"/>
    </row>
    <row r="128" spans="1:42" x14ac:dyDescent="0.2">
      <c r="A128" s="132"/>
      <c r="F128" s="148"/>
      <c r="H128" s="148"/>
    </row>
    <row r="129" spans="1:17" x14ac:dyDescent="0.2">
      <c r="A129" s="7" t="s">
        <v>541</v>
      </c>
      <c r="B129" s="148">
        <f>B11</f>
        <v>786292.29</v>
      </c>
      <c r="C129" s="104">
        <f t="shared" ref="C129:N129" si="41">C11</f>
        <v>0</v>
      </c>
      <c r="D129" s="148">
        <f>D11</f>
        <v>1700000</v>
      </c>
      <c r="E129" s="104">
        <f t="shared" si="41"/>
        <v>0</v>
      </c>
      <c r="F129" s="148">
        <f t="shared" si="41"/>
        <v>4003700</v>
      </c>
      <c r="G129" s="104">
        <f t="shared" si="41"/>
        <v>0</v>
      </c>
      <c r="H129" s="148">
        <f t="shared" si="41"/>
        <v>0</v>
      </c>
      <c r="I129" s="104">
        <f t="shared" si="41"/>
        <v>0</v>
      </c>
      <c r="J129" s="148">
        <f t="shared" si="41"/>
        <v>0</v>
      </c>
      <c r="K129" s="104">
        <f t="shared" si="41"/>
        <v>0</v>
      </c>
      <c r="L129" s="148">
        <f t="shared" si="41"/>
        <v>1604222.24</v>
      </c>
      <c r="M129" s="104">
        <f t="shared" si="41"/>
        <v>0</v>
      </c>
      <c r="N129" s="148">
        <f t="shared" si="41"/>
        <v>32500</v>
      </c>
      <c r="P129" s="49">
        <f>SUM(B129:N129)</f>
        <v>8126714.5300000003</v>
      </c>
    </row>
    <row r="130" spans="1:17" x14ac:dyDescent="0.2">
      <c r="A130" s="7" t="s">
        <v>542</v>
      </c>
      <c r="B130" s="148">
        <f>B90+B89</f>
        <v>5740900</v>
      </c>
      <c r="C130" s="104">
        <f t="shared" ref="C130:N130" si="42">C90+C89</f>
        <v>0</v>
      </c>
      <c r="D130" s="148">
        <f>D90+D89</f>
        <v>407525.02</v>
      </c>
      <c r="E130" s="104">
        <f t="shared" si="42"/>
        <v>0</v>
      </c>
      <c r="F130" s="148">
        <f t="shared" si="42"/>
        <v>126046.16</v>
      </c>
      <c r="G130" s="104">
        <f t="shared" si="42"/>
        <v>0</v>
      </c>
      <c r="H130" s="148">
        <f t="shared" si="42"/>
        <v>299086.48000000004</v>
      </c>
      <c r="I130" s="104">
        <f t="shared" si="42"/>
        <v>0</v>
      </c>
      <c r="J130" s="148">
        <f>J90+J89+J70</f>
        <v>1283591.7300000002</v>
      </c>
      <c r="K130" s="104">
        <f t="shared" si="42"/>
        <v>0</v>
      </c>
      <c r="L130" s="148">
        <f t="shared" si="42"/>
        <v>0</v>
      </c>
      <c r="M130" s="104">
        <f t="shared" si="42"/>
        <v>0</v>
      </c>
      <c r="N130" s="148">
        <f t="shared" si="42"/>
        <v>269565.10000000003</v>
      </c>
      <c r="P130" s="49">
        <f>SUM(B130:N130)</f>
        <v>8126714.4900000002</v>
      </c>
    </row>
    <row r="131" spans="1:17" x14ac:dyDescent="0.2">
      <c r="A131" s="47" t="s">
        <v>543</v>
      </c>
      <c r="H131" s="148"/>
      <c r="P131" s="127">
        <f>P129-P130</f>
        <v>4.0000000037252903E-2</v>
      </c>
      <c r="Q131" s="47" t="s">
        <v>543</v>
      </c>
    </row>
    <row r="132" spans="1:17" x14ac:dyDescent="0.2">
      <c r="A132" s="47"/>
      <c r="Q132" s="131"/>
    </row>
    <row r="133" spans="1:17" x14ac:dyDescent="0.2">
      <c r="A133" s="7" t="s">
        <v>545</v>
      </c>
      <c r="B133" s="147">
        <v>-6278286.96</v>
      </c>
      <c r="D133" s="147">
        <v>-8000</v>
      </c>
      <c r="F133" s="147">
        <v>-478081</v>
      </c>
      <c r="H133" s="147">
        <v>0</v>
      </c>
      <c r="J133" s="147">
        <v>-2329650.6</v>
      </c>
      <c r="N133" s="147">
        <f>-630249-8764.44-109593-165660</f>
        <v>-914266.44</v>
      </c>
      <c r="Q133" s="137"/>
    </row>
    <row r="134" spans="1:17" x14ac:dyDescent="0.2">
      <c r="A134" s="7" t="s">
        <v>546</v>
      </c>
      <c r="B134" s="150">
        <f>B55</f>
        <v>-7528469.54</v>
      </c>
      <c r="C134" s="129"/>
      <c r="D134" s="150">
        <f>D55</f>
        <v>-11907.03</v>
      </c>
      <c r="E134" s="129"/>
      <c r="F134" s="150">
        <f>F55</f>
        <v>-582828.01</v>
      </c>
      <c r="G134" s="129"/>
      <c r="H134" s="150">
        <f>H55</f>
        <v>0</v>
      </c>
      <c r="I134" s="129"/>
      <c r="J134" s="150">
        <f>J55</f>
        <v>-2422939.66</v>
      </c>
      <c r="K134" s="129"/>
      <c r="L134" s="150">
        <f>L55</f>
        <v>-1427483.38</v>
      </c>
      <c r="M134" s="129"/>
      <c r="N134" s="150">
        <f>N55</f>
        <v>-1061402.28</v>
      </c>
      <c r="O134" s="129"/>
      <c r="P134" s="130">
        <f>SUM(B134:N134)</f>
        <v>-13035029.9</v>
      </c>
    </row>
    <row r="135" spans="1:17" x14ac:dyDescent="0.2">
      <c r="A135" s="7" t="s">
        <v>547</v>
      </c>
      <c r="B135" s="148">
        <f>B133-B134</f>
        <v>1250182.58</v>
      </c>
      <c r="D135" s="148">
        <f>D133-D134</f>
        <v>3907.0300000000007</v>
      </c>
      <c r="F135" s="148">
        <f>F133-F134</f>
        <v>104747.01000000001</v>
      </c>
      <c r="H135" s="148">
        <f>H133-H134</f>
        <v>0</v>
      </c>
      <c r="J135" s="148">
        <f>J133-J134</f>
        <v>93289.060000000056</v>
      </c>
      <c r="L135" s="148">
        <f>L133-L134</f>
        <v>1427483.38</v>
      </c>
      <c r="N135" s="148">
        <f>N133-N134</f>
        <v>147135.84000000008</v>
      </c>
    </row>
    <row r="136" spans="1:17" x14ac:dyDescent="0.2">
      <c r="B136" s="148"/>
      <c r="D136" s="148"/>
      <c r="F136" s="148"/>
      <c r="H136" s="148"/>
      <c r="J136" s="148"/>
      <c r="L136" s="148"/>
      <c r="N136" s="148"/>
    </row>
    <row r="137" spans="1:17" x14ac:dyDescent="0.2">
      <c r="A137" s="7" t="s">
        <v>544</v>
      </c>
      <c r="B137" s="148">
        <f>'[1]Summary YTD 10.31.18'!$B$60</f>
        <v>1250210.18</v>
      </c>
      <c r="D137" s="148">
        <f>'[1]Summary YTD 10.31.18'!$C$60</f>
        <v>3907.0299999999997</v>
      </c>
      <c r="F137" s="148">
        <f>'[1]Summary YTD 10.31.18'!$D$60</f>
        <v>104785.78</v>
      </c>
      <c r="H137" s="148">
        <f>'[1]Summary YTD 10.31.18'!$E$60</f>
        <v>0</v>
      </c>
      <c r="J137" s="148">
        <f>'[1]Summary YTD 10.31.18'!$F$60</f>
        <v>93289.06</v>
      </c>
      <c r="L137" s="148">
        <f>'[1]Summary YTD 10.31.18'!$G$60</f>
        <v>92512.700000000026</v>
      </c>
      <c r="N137" s="148">
        <f>'[1]Summary YTD 10.31.18'!$H$60</f>
        <v>147135.84</v>
      </c>
      <c r="P137" s="49">
        <f>SUM(B137:N137)</f>
        <v>1691840.59</v>
      </c>
    </row>
    <row r="138" spans="1:17" x14ac:dyDescent="0.2">
      <c r="A138" s="126" t="s">
        <v>543</v>
      </c>
      <c r="B138" s="148">
        <f>B135-B137</f>
        <v>-27.599999999860302</v>
      </c>
      <c r="C138" s="126"/>
      <c r="D138" s="148">
        <f>D135-D137</f>
        <v>0</v>
      </c>
      <c r="E138" s="126"/>
      <c r="F138" s="148">
        <f>F135-F137</f>
        <v>-38.769999999989523</v>
      </c>
      <c r="G138" s="126"/>
      <c r="H138" s="148">
        <f>H135-H137</f>
        <v>0</v>
      </c>
      <c r="I138" s="126"/>
      <c r="J138" s="148">
        <f>J135-J137</f>
        <v>0</v>
      </c>
      <c r="K138" s="126"/>
      <c r="L138" s="148"/>
      <c r="M138" s="126"/>
      <c r="N138" s="148">
        <f>N135-N137</f>
        <v>0</v>
      </c>
      <c r="O138" s="126"/>
      <c r="P138" s="127"/>
    </row>
    <row r="140" spans="1:17" x14ac:dyDescent="0.2">
      <c r="A140" s="7" t="s">
        <v>565</v>
      </c>
      <c r="B140" s="154">
        <f>B109-'[1]Summary YTD 10.31.18'!$B$107</f>
        <v>499999.99999984715</v>
      </c>
      <c r="C140" s="47" t="s">
        <v>543</v>
      </c>
      <c r="P140" s="49">
        <f>P109-'[1]Summary YTD 10.31.18'!$I$107</f>
        <v>499999.99999984074</v>
      </c>
      <c r="Q140" s="47" t="s">
        <v>543</v>
      </c>
    </row>
    <row r="141" spans="1:17" x14ac:dyDescent="0.2">
      <c r="B141" s="148"/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41" orientation="landscape" r:id="rId1"/>
  <headerFooter>
    <oddFooter>&amp;C&amp;14Page &amp;P of &amp;N</oddFooter>
  </headerFooter>
  <rowBreaks count="3" manualBreakCount="3">
    <brk id="41" max="16383" man="1"/>
    <brk id="60" max="33" man="1"/>
    <brk id="94" max="16383" man="1"/>
  </rowBreaks>
  <colBreaks count="2" manualBreakCount="2">
    <brk id="16" max="1048575" man="1"/>
    <brk id="3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outlinePr summaryBelow="0"/>
    <pageSetUpPr autoPageBreaks="0" fitToPage="1"/>
  </sheetPr>
  <dimension ref="A1:AH135"/>
  <sheetViews>
    <sheetView showGridLines="0" tabSelected="1" topLeftCell="A84" workbookViewId="0">
      <selection activeCell="S121" sqref="S121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3.140625" style="37" bestFit="1" customWidth="1"/>
    <col min="20" max="20" width="2.28515625" customWidth="1"/>
    <col min="21" max="21" width="1.28515625" customWidth="1"/>
    <col min="22" max="22" width="6.28515625" customWidth="1"/>
    <col min="23" max="23" width="5.85546875" customWidth="1"/>
    <col min="24" max="24" width="1.28515625" customWidth="1"/>
    <col min="26" max="26" width="11" bestFit="1" customWidth="1"/>
    <col min="27" max="27" width="8.7109375" bestFit="1" customWidth="1"/>
  </cols>
  <sheetData>
    <row r="1" spans="1:25" ht="12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</row>
    <row r="2" spans="1:25" ht="12" customHeight="1" x14ac:dyDescent="0.2"/>
    <row r="3" spans="1:25" ht="12" customHeight="1" x14ac:dyDescent="0.2">
      <c r="A3" s="169" t="s">
        <v>584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</row>
    <row r="4" spans="1:25" ht="12" customHeight="1" x14ac:dyDescent="0.2">
      <c r="A4" s="170" t="s">
        <v>1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</row>
    <row r="5" spans="1:25" ht="12" customHeight="1" x14ac:dyDescent="0.2">
      <c r="A5" s="162" t="s">
        <v>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</row>
    <row r="6" spans="1:25" ht="12" customHeight="1" x14ac:dyDescent="0.2"/>
    <row r="7" spans="1:25" ht="12" customHeight="1" x14ac:dyDescent="0.2">
      <c r="B7" s="162" t="s">
        <v>3</v>
      </c>
      <c r="C7" s="162"/>
      <c r="D7" s="162"/>
      <c r="E7" s="162"/>
      <c r="F7" s="162"/>
      <c r="G7" s="162"/>
      <c r="H7" s="162"/>
      <c r="I7" s="162"/>
      <c r="J7" s="162"/>
      <c r="K7" s="162"/>
    </row>
    <row r="8" spans="1:25" ht="12" customHeight="1" x14ac:dyDescent="0.2"/>
    <row r="9" spans="1:25" ht="12" customHeight="1" x14ac:dyDescent="0.2">
      <c r="C9" s="161">
        <v>1120</v>
      </c>
      <c r="D9" s="161"/>
      <c r="E9" s="161"/>
      <c r="F9" s="161"/>
      <c r="H9" s="6" t="s">
        <v>218</v>
      </c>
      <c r="S9" s="40">
        <v>-0.01</v>
      </c>
    </row>
    <row r="10" spans="1:25" ht="12" customHeight="1" x14ac:dyDescent="0.2">
      <c r="C10" s="161" t="s">
        <v>4</v>
      </c>
      <c r="D10" s="161"/>
      <c r="E10" s="161"/>
      <c r="F10" s="161"/>
      <c r="H10" s="6" t="s">
        <v>5</v>
      </c>
      <c r="I10" s="6"/>
      <c r="J10" s="6"/>
      <c r="K10" s="6"/>
      <c r="L10" s="6"/>
      <c r="M10" s="6"/>
      <c r="N10" s="6"/>
      <c r="O10" s="6"/>
      <c r="P10" s="6"/>
      <c r="Q10" s="6"/>
      <c r="S10" s="40">
        <v>490</v>
      </c>
    </row>
    <row r="11" spans="1:25" ht="12" customHeight="1" x14ac:dyDescent="0.2">
      <c r="C11" s="161" t="s">
        <v>6</v>
      </c>
      <c r="D11" s="161"/>
      <c r="E11" s="161"/>
      <c r="F11" s="161"/>
      <c r="H11" s="6" t="s">
        <v>7</v>
      </c>
      <c r="I11" s="6"/>
      <c r="J11" s="6"/>
      <c r="K11" s="6"/>
      <c r="L11" s="6"/>
      <c r="M11" s="6"/>
      <c r="N11" s="6"/>
      <c r="O11" s="6"/>
      <c r="P11" s="6"/>
      <c r="Q11" s="6"/>
      <c r="S11" s="40">
        <v>-1023216</v>
      </c>
    </row>
    <row r="12" spans="1:25" ht="12" customHeight="1" x14ac:dyDescent="0.2">
      <c r="C12" s="161" t="s">
        <v>8</v>
      </c>
      <c r="D12" s="161"/>
      <c r="E12" s="161"/>
      <c r="F12" s="161"/>
      <c r="H12" s="6" t="s">
        <v>9</v>
      </c>
      <c r="I12" s="6"/>
      <c r="J12" s="6"/>
      <c r="K12" s="6"/>
      <c r="L12" s="6"/>
      <c r="M12" s="6"/>
      <c r="N12" s="6"/>
      <c r="O12" s="6"/>
      <c r="P12" s="6"/>
      <c r="Q12" s="6"/>
      <c r="S12" s="40">
        <v>110692</v>
      </c>
    </row>
    <row r="13" spans="1:25" ht="12" customHeight="1" x14ac:dyDescent="0.2">
      <c r="C13" s="161" t="s">
        <v>10</v>
      </c>
      <c r="D13" s="161"/>
      <c r="E13" s="161"/>
      <c r="F13" s="161"/>
      <c r="H13" s="6" t="s">
        <v>11</v>
      </c>
      <c r="I13" s="6"/>
      <c r="J13" s="6"/>
      <c r="K13" s="6"/>
      <c r="L13" s="6"/>
      <c r="M13" s="6"/>
      <c r="N13" s="6"/>
      <c r="O13" s="6"/>
      <c r="P13" s="6"/>
      <c r="Q13" s="6"/>
      <c r="S13" s="40">
        <v>0</v>
      </c>
      <c r="Y13" s="6"/>
    </row>
    <row r="14" spans="1:25" ht="12" customHeight="1" x14ac:dyDescent="0.2">
      <c r="C14" s="161" t="s">
        <v>12</v>
      </c>
      <c r="D14" s="161"/>
      <c r="E14" s="161"/>
      <c r="F14" s="161"/>
      <c r="H14" s="6" t="s">
        <v>13</v>
      </c>
      <c r="I14" s="6"/>
      <c r="J14" s="6"/>
      <c r="K14" s="6"/>
      <c r="L14" s="6"/>
      <c r="M14" s="6"/>
      <c r="N14" s="6"/>
      <c r="O14" s="6"/>
      <c r="P14" s="6"/>
      <c r="Q14" s="6"/>
      <c r="S14" s="40">
        <v>-88690.53</v>
      </c>
    </row>
    <row r="15" spans="1:25" ht="12" customHeight="1" x14ac:dyDescent="0.2">
      <c r="C15" s="161" t="s">
        <v>14</v>
      </c>
      <c r="D15" s="161"/>
      <c r="E15" s="161"/>
      <c r="F15" s="161"/>
      <c r="H15" s="6" t="s">
        <v>15</v>
      </c>
      <c r="I15" s="6"/>
      <c r="J15" s="6"/>
      <c r="K15" s="6"/>
      <c r="L15" s="6"/>
      <c r="M15" s="6"/>
      <c r="N15" s="6"/>
      <c r="O15" s="6"/>
      <c r="P15" s="6"/>
      <c r="Q15" s="6"/>
      <c r="S15" s="40">
        <v>-89927.8</v>
      </c>
    </row>
    <row r="16" spans="1:25" ht="12" customHeight="1" x14ac:dyDescent="0.2">
      <c r="C16" s="161" t="s">
        <v>16</v>
      </c>
      <c r="D16" s="161"/>
      <c r="E16" s="161"/>
      <c r="F16" s="161"/>
      <c r="H16" s="6" t="s">
        <v>17</v>
      </c>
      <c r="I16" s="6"/>
      <c r="J16" s="6"/>
      <c r="K16" s="6"/>
      <c r="L16" s="6"/>
      <c r="M16" s="6"/>
      <c r="N16" s="6"/>
      <c r="O16" s="6"/>
      <c r="P16" s="6"/>
      <c r="Q16" s="6"/>
      <c r="S16" s="40">
        <v>17781925</v>
      </c>
    </row>
    <row r="17" spans="3:34" ht="12" customHeight="1" x14ac:dyDescent="0.2">
      <c r="C17" s="161">
        <v>1220</v>
      </c>
      <c r="D17" s="161"/>
      <c r="E17" s="161"/>
      <c r="F17" s="161"/>
      <c r="H17" s="6" t="s">
        <v>600</v>
      </c>
      <c r="I17" s="6"/>
      <c r="J17" s="6"/>
      <c r="K17" s="6"/>
      <c r="L17" s="6"/>
      <c r="M17" s="6"/>
      <c r="N17" s="6"/>
      <c r="O17" s="6"/>
      <c r="P17" s="6"/>
      <c r="Q17" s="6"/>
      <c r="S17" s="40">
        <v>6960.4</v>
      </c>
    </row>
    <row r="18" spans="3:34" ht="12" customHeight="1" x14ac:dyDescent="0.2">
      <c r="C18" s="161" t="s">
        <v>18</v>
      </c>
      <c r="D18" s="161"/>
      <c r="E18" s="161"/>
      <c r="F18" s="161"/>
      <c r="H18" s="6" t="s">
        <v>19</v>
      </c>
      <c r="I18" s="6"/>
      <c r="J18" s="6"/>
      <c r="K18" s="6"/>
      <c r="L18" s="6"/>
      <c r="M18" s="6"/>
      <c r="N18" s="6"/>
      <c r="O18" s="6"/>
      <c r="P18" s="6"/>
      <c r="Q18" s="6"/>
      <c r="S18" s="40">
        <v>59924326.280000001</v>
      </c>
      <c r="AG18" s="6"/>
    </row>
    <row r="19" spans="3:34" ht="12" customHeight="1" x14ac:dyDescent="0.2">
      <c r="C19" s="161" t="s">
        <v>20</v>
      </c>
      <c r="D19" s="161"/>
      <c r="E19" s="161"/>
      <c r="F19" s="161"/>
      <c r="H19" s="6" t="s">
        <v>21</v>
      </c>
      <c r="I19" s="6"/>
      <c r="J19" s="6"/>
      <c r="K19" s="6"/>
      <c r="L19" s="6"/>
      <c r="M19" s="6"/>
      <c r="N19" s="6"/>
      <c r="O19" s="6"/>
      <c r="P19" s="6"/>
      <c r="Q19" s="6"/>
      <c r="S19" s="40">
        <v>105015236.68000001</v>
      </c>
    </row>
    <row r="20" spans="3:34" ht="12" customHeight="1" x14ac:dyDescent="0.2">
      <c r="C20" s="161" t="s">
        <v>22</v>
      </c>
      <c r="D20" s="161"/>
      <c r="E20" s="161"/>
      <c r="F20" s="161"/>
      <c r="H20" s="6" t="s">
        <v>23</v>
      </c>
      <c r="I20" s="6"/>
      <c r="J20" s="6"/>
      <c r="K20" s="6"/>
      <c r="L20" s="6"/>
      <c r="M20" s="6"/>
      <c r="N20" s="6"/>
      <c r="O20" s="6"/>
      <c r="P20" s="6"/>
      <c r="Q20" s="6"/>
      <c r="S20" s="40">
        <v>2912451.3</v>
      </c>
    </row>
    <row r="21" spans="3:34" ht="12" customHeight="1" x14ac:dyDescent="0.2">
      <c r="C21" s="161" t="s">
        <v>24</v>
      </c>
      <c r="D21" s="161"/>
      <c r="E21" s="161"/>
      <c r="F21" s="161"/>
      <c r="H21" s="6" t="s">
        <v>25</v>
      </c>
      <c r="I21" s="6"/>
      <c r="J21" s="6"/>
      <c r="K21" s="6"/>
      <c r="L21" s="6"/>
      <c r="M21" s="6"/>
      <c r="N21" s="6"/>
      <c r="O21" s="6"/>
      <c r="P21" s="6"/>
      <c r="Q21" s="6"/>
      <c r="S21" s="40">
        <v>1695526.26</v>
      </c>
      <c r="AH21" s="6"/>
    </row>
    <row r="22" spans="3:34" ht="12" customHeight="1" x14ac:dyDescent="0.2">
      <c r="C22" s="161" t="s">
        <v>26</v>
      </c>
      <c r="D22" s="161"/>
      <c r="E22" s="161"/>
      <c r="F22" s="161"/>
      <c r="H22" s="6" t="s">
        <v>27</v>
      </c>
      <c r="I22" s="6"/>
      <c r="J22" s="6"/>
      <c r="K22" s="6"/>
      <c r="L22" s="6"/>
      <c r="M22" s="6"/>
      <c r="N22" s="6"/>
      <c r="O22" s="6"/>
      <c r="P22" s="6"/>
      <c r="Q22" s="6"/>
      <c r="S22" s="40">
        <v>-17.2</v>
      </c>
      <c r="AH22" s="6"/>
    </row>
    <row r="23" spans="3:34" ht="12" customHeight="1" x14ac:dyDescent="0.2">
      <c r="C23" s="161" t="s">
        <v>28</v>
      </c>
      <c r="D23" s="161"/>
      <c r="E23" s="161"/>
      <c r="F23" s="161"/>
      <c r="H23" s="6" t="s">
        <v>29</v>
      </c>
      <c r="I23" s="6"/>
      <c r="J23" s="6"/>
      <c r="K23" s="6"/>
      <c r="L23" s="6"/>
      <c r="M23" s="6"/>
      <c r="N23" s="6"/>
      <c r="O23" s="6"/>
      <c r="P23" s="6"/>
      <c r="Q23" s="6"/>
      <c r="S23" s="40">
        <v>1456098.27</v>
      </c>
    </row>
    <row r="24" spans="3:34" ht="12" customHeight="1" x14ac:dyDescent="0.2">
      <c r="C24" s="161" t="s">
        <v>30</v>
      </c>
      <c r="D24" s="161"/>
      <c r="E24" s="161"/>
      <c r="F24" s="161"/>
      <c r="H24" s="6" t="s">
        <v>31</v>
      </c>
      <c r="I24" s="6"/>
      <c r="J24" s="6"/>
      <c r="K24" s="6"/>
      <c r="L24" s="6"/>
      <c r="M24" s="6"/>
      <c r="N24" s="6"/>
      <c r="O24" s="6"/>
      <c r="P24" s="6"/>
      <c r="Q24" s="6"/>
      <c r="S24" s="40">
        <v>89.11</v>
      </c>
    </row>
    <row r="25" spans="3:34" ht="12" customHeight="1" x14ac:dyDescent="0.2">
      <c r="C25" s="161" t="s">
        <v>32</v>
      </c>
      <c r="D25" s="161"/>
      <c r="E25" s="161"/>
      <c r="F25" s="161"/>
      <c r="H25" s="6" t="s">
        <v>33</v>
      </c>
      <c r="I25" s="6"/>
      <c r="J25" s="6"/>
      <c r="K25" s="6"/>
      <c r="L25" s="6"/>
      <c r="M25" s="6"/>
      <c r="N25" s="6"/>
      <c r="O25" s="6"/>
      <c r="P25" s="6"/>
      <c r="Q25" s="6"/>
      <c r="S25" s="40">
        <v>-14881061.810000001</v>
      </c>
    </row>
    <row r="26" spans="3:34" ht="12" customHeight="1" x14ac:dyDescent="0.2">
      <c r="C26" s="161" t="s">
        <v>34</v>
      </c>
      <c r="D26" s="161"/>
      <c r="E26" s="161"/>
      <c r="F26" s="161"/>
      <c r="H26" s="6" t="s">
        <v>35</v>
      </c>
      <c r="I26" s="6"/>
      <c r="J26" s="6"/>
      <c r="K26" s="6"/>
      <c r="L26" s="6"/>
      <c r="M26" s="6"/>
      <c r="N26" s="6"/>
      <c r="O26" s="6"/>
      <c r="P26" s="6"/>
      <c r="Q26" s="6"/>
      <c r="S26" s="40">
        <v>-133775601.08</v>
      </c>
    </row>
    <row r="27" spans="3:34" ht="12" customHeight="1" x14ac:dyDescent="0.2">
      <c r="C27" s="161" t="s">
        <v>36</v>
      </c>
      <c r="D27" s="161"/>
      <c r="E27" s="161"/>
      <c r="F27" s="161"/>
      <c r="H27" s="6" t="s">
        <v>37</v>
      </c>
      <c r="I27" s="6"/>
      <c r="J27" s="6"/>
      <c r="K27" s="6"/>
      <c r="L27" s="6"/>
      <c r="M27" s="6"/>
      <c r="N27" s="6"/>
      <c r="O27" s="6"/>
      <c r="P27" s="6"/>
      <c r="Q27" s="6"/>
      <c r="S27" s="40">
        <v>-19521795.489999998</v>
      </c>
    </row>
    <row r="28" spans="3:34" ht="12" customHeight="1" x14ac:dyDescent="0.2">
      <c r="C28" s="161" t="s">
        <v>38</v>
      </c>
      <c r="D28" s="161"/>
      <c r="E28" s="161"/>
      <c r="F28" s="161"/>
      <c r="H28" s="6" t="s">
        <v>39</v>
      </c>
      <c r="I28" s="6"/>
      <c r="J28" s="6"/>
      <c r="K28" s="6"/>
      <c r="L28" s="6"/>
      <c r="M28" s="6"/>
      <c r="N28" s="6"/>
      <c r="O28" s="6"/>
      <c r="P28" s="6"/>
      <c r="Q28" s="6"/>
      <c r="S28" s="40">
        <v>-64570.7</v>
      </c>
    </row>
    <row r="29" spans="3:34" ht="12" customHeight="1" x14ac:dyDescent="0.2">
      <c r="C29" s="161" t="s">
        <v>40</v>
      </c>
      <c r="D29" s="161"/>
      <c r="E29" s="161"/>
      <c r="F29" s="161"/>
      <c r="H29" s="6" t="s">
        <v>41</v>
      </c>
      <c r="I29" s="6"/>
      <c r="J29" s="6"/>
      <c r="K29" s="6"/>
      <c r="L29" s="6"/>
      <c r="M29" s="6"/>
      <c r="N29" s="6"/>
      <c r="O29" s="6"/>
      <c r="P29" s="6"/>
      <c r="Q29" s="6"/>
      <c r="S29" s="40">
        <v>101046.16</v>
      </c>
    </row>
    <row r="30" spans="3:34" ht="12" customHeight="1" x14ac:dyDescent="0.2">
      <c r="C30" s="161" t="s">
        <v>42</v>
      </c>
      <c r="D30" s="161"/>
      <c r="E30" s="161"/>
      <c r="F30" s="161"/>
      <c r="H30" s="6" t="s">
        <v>43</v>
      </c>
      <c r="I30" s="6"/>
      <c r="J30" s="6"/>
      <c r="K30" s="6"/>
      <c r="L30" s="6"/>
      <c r="M30" s="6"/>
      <c r="N30" s="6"/>
      <c r="O30" s="6"/>
      <c r="P30" s="6"/>
      <c r="Q30" s="6"/>
      <c r="S30" s="40">
        <v>11733.39</v>
      </c>
    </row>
    <row r="31" spans="3:34" ht="12" customHeight="1" x14ac:dyDescent="0.2">
      <c r="C31" s="161">
        <v>1238</v>
      </c>
      <c r="D31" s="161"/>
      <c r="E31" s="161"/>
      <c r="F31" s="161"/>
      <c r="H31" s="6" t="s">
        <v>601</v>
      </c>
      <c r="I31" s="6"/>
      <c r="J31" s="6"/>
      <c r="K31" s="6"/>
      <c r="L31" s="6"/>
      <c r="M31" s="6"/>
      <c r="N31" s="6"/>
      <c r="O31" s="6"/>
      <c r="P31" s="6"/>
      <c r="Q31" s="6"/>
      <c r="S31" s="40">
        <v>1675</v>
      </c>
    </row>
    <row r="32" spans="3:34" ht="12" customHeight="1" x14ac:dyDescent="0.2">
      <c r="C32" s="161" t="s">
        <v>44</v>
      </c>
      <c r="D32" s="161"/>
      <c r="E32" s="161"/>
      <c r="F32" s="161"/>
      <c r="H32" s="6" t="s">
        <v>45</v>
      </c>
      <c r="I32" s="6"/>
      <c r="J32" s="6"/>
      <c r="K32" s="6"/>
      <c r="L32" s="6"/>
      <c r="M32" s="6"/>
      <c r="N32" s="6"/>
      <c r="O32" s="6"/>
      <c r="P32" s="6"/>
      <c r="Q32" s="6"/>
      <c r="S32" s="40">
        <v>15976.21</v>
      </c>
    </row>
    <row r="33" spans="3:19" ht="12" customHeight="1" x14ac:dyDescent="0.2">
      <c r="C33" s="161" t="s">
        <v>46</v>
      </c>
      <c r="D33" s="161"/>
      <c r="E33" s="161"/>
      <c r="F33" s="161"/>
      <c r="H33" s="6" t="s">
        <v>47</v>
      </c>
      <c r="I33" s="6"/>
      <c r="J33" s="6"/>
      <c r="K33" s="6"/>
      <c r="L33" s="6"/>
      <c r="M33" s="6"/>
      <c r="N33" s="6"/>
      <c r="O33" s="6"/>
      <c r="P33" s="6"/>
      <c r="Q33" s="6"/>
      <c r="S33" s="40">
        <v>18359.39</v>
      </c>
    </row>
    <row r="34" spans="3:19" ht="12" customHeight="1" x14ac:dyDescent="0.2">
      <c r="C34" s="161" t="s">
        <v>48</v>
      </c>
      <c r="D34" s="161"/>
      <c r="E34" s="161"/>
      <c r="F34" s="161"/>
      <c r="H34" s="6" t="s">
        <v>49</v>
      </c>
      <c r="I34" s="6"/>
      <c r="J34" s="6"/>
      <c r="K34" s="6"/>
      <c r="L34" s="6"/>
      <c r="M34" s="6"/>
      <c r="N34" s="6"/>
      <c r="O34" s="6"/>
      <c r="P34" s="6"/>
      <c r="Q34" s="6"/>
      <c r="S34" s="40">
        <v>47590.34</v>
      </c>
    </row>
    <row r="35" spans="3:19" ht="12" customHeight="1" x14ac:dyDescent="0.2">
      <c r="C35" s="161" t="s">
        <v>50</v>
      </c>
      <c r="D35" s="161"/>
      <c r="E35" s="161"/>
      <c r="F35" s="161"/>
      <c r="H35" s="6" t="s">
        <v>51</v>
      </c>
      <c r="I35" s="6"/>
      <c r="J35" s="6"/>
      <c r="K35" s="6"/>
      <c r="L35" s="6"/>
      <c r="M35" s="6"/>
      <c r="N35" s="6"/>
      <c r="O35" s="6"/>
      <c r="P35" s="6"/>
      <c r="Q35" s="6"/>
      <c r="S35" s="40">
        <v>1509093.02</v>
      </c>
    </row>
    <row r="36" spans="3:19" ht="12" customHeight="1" x14ac:dyDescent="0.2">
      <c r="C36" s="161" t="s">
        <v>52</v>
      </c>
      <c r="D36" s="161"/>
      <c r="E36" s="161"/>
      <c r="F36" s="161"/>
      <c r="H36" s="6" t="s">
        <v>53</v>
      </c>
      <c r="I36" s="6"/>
      <c r="J36" s="6"/>
      <c r="K36" s="6"/>
      <c r="L36" s="6"/>
      <c r="M36" s="6"/>
      <c r="N36" s="6"/>
      <c r="O36" s="6"/>
      <c r="P36" s="6"/>
      <c r="Q36" s="6"/>
      <c r="S36" s="40">
        <v>143640.24</v>
      </c>
    </row>
    <row r="37" spans="3:19" ht="12" customHeight="1" x14ac:dyDescent="0.2">
      <c r="C37" s="161" t="s">
        <v>54</v>
      </c>
      <c r="D37" s="161"/>
      <c r="E37" s="161"/>
      <c r="F37" s="161"/>
      <c r="H37" s="6" t="s">
        <v>55</v>
      </c>
      <c r="I37" s="6"/>
      <c r="J37" s="6"/>
      <c r="K37" s="6"/>
      <c r="L37" s="6"/>
      <c r="M37" s="6"/>
      <c r="N37" s="6"/>
      <c r="O37" s="6"/>
      <c r="P37" s="6"/>
      <c r="Q37" s="6"/>
      <c r="S37" s="40">
        <v>48300</v>
      </c>
    </row>
    <row r="38" spans="3:19" ht="12" customHeight="1" x14ac:dyDescent="0.2">
      <c r="C38" s="161" t="s">
        <v>58</v>
      </c>
      <c r="D38" s="161"/>
      <c r="E38" s="161"/>
      <c r="F38" s="161"/>
      <c r="H38" s="6" t="s">
        <v>59</v>
      </c>
      <c r="I38" s="6"/>
      <c r="J38" s="6"/>
      <c r="K38" s="6"/>
      <c r="L38" s="6"/>
      <c r="M38" s="6"/>
      <c r="N38" s="6"/>
      <c r="O38" s="6"/>
      <c r="P38" s="6"/>
      <c r="Q38" s="6"/>
      <c r="S38" s="40">
        <f>69501+500000</f>
        <v>569501</v>
      </c>
    </row>
    <row r="39" spans="3:19" ht="12" customHeight="1" x14ac:dyDescent="0.2">
      <c r="C39" s="161">
        <v>1252</v>
      </c>
      <c r="D39" s="161"/>
      <c r="E39" s="161"/>
      <c r="F39" s="161"/>
      <c r="H39" s="6" t="s">
        <v>604</v>
      </c>
      <c r="I39" s="6"/>
      <c r="J39" s="6"/>
      <c r="K39" s="6"/>
      <c r="L39" s="6"/>
      <c r="M39" s="6"/>
      <c r="N39" s="6"/>
      <c r="O39" s="6"/>
      <c r="P39" s="6"/>
      <c r="Q39" s="6"/>
      <c r="S39" s="40">
        <v>6500</v>
      </c>
    </row>
    <row r="40" spans="3:19" ht="12" customHeight="1" x14ac:dyDescent="0.2">
      <c r="C40" s="161">
        <v>1255</v>
      </c>
      <c r="D40" s="161"/>
      <c r="E40" s="161"/>
      <c r="F40" s="161"/>
      <c r="H40" s="6" t="s">
        <v>561</v>
      </c>
      <c r="I40" s="6"/>
      <c r="J40" s="6"/>
      <c r="K40" s="6"/>
      <c r="L40" s="6"/>
      <c r="M40" s="6"/>
      <c r="N40" s="6"/>
      <c r="O40" s="6"/>
      <c r="P40" s="6"/>
      <c r="Q40" s="6"/>
      <c r="S40" s="40">
        <v>277917.67</v>
      </c>
    </row>
    <row r="41" spans="3:19" ht="12" customHeight="1" x14ac:dyDescent="0.2">
      <c r="C41" s="161" t="s">
        <v>60</v>
      </c>
      <c r="D41" s="161"/>
      <c r="E41" s="161"/>
      <c r="F41" s="161"/>
      <c r="H41" s="6" t="s">
        <v>61</v>
      </c>
      <c r="I41" s="6"/>
      <c r="J41" s="6"/>
      <c r="K41" s="6"/>
      <c r="L41" s="6"/>
      <c r="M41" s="6"/>
      <c r="N41" s="6"/>
      <c r="O41" s="6"/>
      <c r="P41" s="6"/>
      <c r="Q41" s="6"/>
      <c r="S41" s="40">
        <v>20418.84</v>
      </c>
    </row>
    <row r="42" spans="3:19" ht="12" customHeight="1" x14ac:dyDescent="0.2">
      <c r="C42" s="161" t="s">
        <v>62</v>
      </c>
      <c r="D42" s="161"/>
      <c r="E42" s="161"/>
      <c r="F42" s="161"/>
      <c r="H42" s="6" t="s">
        <v>63</v>
      </c>
      <c r="I42" s="6"/>
      <c r="J42" s="6"/>
      <c r="K42" s="6"/>
      <c r="L42" s="6"/>
      <c r="M42" s="6"/>
      <c r="N42" s="6"/>
      <c r="O42" s="6"/>
      <c r="P42" s="6"/>
      <c r="Q42" s="6"/>
      <c r="S42" s="40">
        <v>357525.02</v>
      </c>
    </row>
    <row r="43" spans="3:19" ht="12" customHeight="1" x14ac:dyDescent="0.2">
      <c r="C43" s="161" t="s">
        <v>64</v>
      </c>
      <c r="D43" s="161"/>
      <c r="E43" s="161"/>
      <c r="F43" s="161"/>
      <c r="H43" s="6" t="s">
        <v>65</v>
      </c>
      <c r="I43" s="6"/>
      <c r="J43" s="6"/>
      <c r="K43" s="6"/>
      <c r="L43" s="6"/>
      <c r="M43" s="6"/>
      <c r="N43" s="6"/>
      <c r="O43" s="6"/>
      <c r="P43" s="6"/>
      <c r="Q43" s="6"/>
      <c r="S43" s="40">
        <v>1304017.47</v>
      </c>
    </row>
    <row r="44" spans="3:19" ht="12" customHeight="1" x14ac:dyDescent="0.2">
      <c r="C44" s="161" t="s">
        <v>66</v>
      </c>
      <c r="D44" s="161"/>
      <c r="E44" s="161"/>
      <c r="F44" s="161"/>
      <c r="H44" s="6" t="s">
        <v>67</v>
      </c>
      <c r="I44" s="6"/>
      <c r="J44" s="6"/>
      <c r="K44" s="6"/>
      <c r="L44" s="6"/>
      <c r="M44" s="6"/>
      <c r="N44" s="6"/>
      <c r="O44" s="6"/>
      <c r="P44" s="6"/>
      <c r="Q44" s="6"/>
      <c r="S44" s="40">
        <v>5245.91</v>
      </c>
    </row>
    <row r="45" spans="3:19" ht="12" customHeight="1" x14ac:dyDescent="0.2">
      <c r="C45" s="161" t="s">
        <v>68</v>
      </c>
      <c r="D45" s="161"/>
      <c r="E45" s="161"/>
      <c r="F45" s="161"/>
      <c r="H45" s="6" t="s">
        <v>69</v>
      </c>
      <c r="I45" s="6"/>
      <c r="J45" s="6"/>
      <c r="K45" s="6"/>
      <c r="L45" s="6"/>
      <c r="M45" s="6"/>
      <c r="N45" s="6"/>
      <c r="O45" s="6"/>
      <c r="P45" s="6"/>
      <c r="Q45" s="6"/>
      <c r="S45" s="40">
        <v>4373634.9400000004</v>
      </c>
    </row>
    <row r="46" spans="3:19" ht="12" customHeight="1" x14ac:dyDescent="0.2">
      <c r="C46" s="161" t="s">
        <v>70</v>
      </c>
      <c r="D46" s="161"/>
      <c r="E46" s="161"/>
      <c r="F46" s="161"/>
      <c r="H46" s="6" t="s">
        <v>403</v>
      </c>
      <c r="I46" s="6"/>
      <c r="J46" s="6"/>
      <c r="K46" s="6"/>
      <c r="L46" s="6"/>
      <c r="M46" s="6"/>
      <c r="N46" s="6"/>
      <c r="O46" s="6"/>
      <c r="P46" s="6"/>
      <c r="Q46" s="6"/>
      <c r="S46" s="40">
        <v>97927.93</v>
      </c>
    </row>
    <row r="47" spans="3:19" ht="12" customHeight="1" x14ac:dyDescent="0.2">
      <c r="C47" s="161" t="s">
        <v>71</v>
      </c>
      <c r="D47" s="161"/>
      <c r="E47" s="161"/>
      <c r="F47" s="161"/>
      <c r="H47" s="6" t="s">
        <v>404</v>
      </c>
      <c r="I47" s="6"/>
      <c r="J47" s="6"/>
      <c r="K47" s="6"/>
      <c r="L47" s="6"/>
      <c r="M47" s="6"/>
      <c r="N47" s="6"/>
      <c r="O47" s="6"/>
      <c r="P47" s="6"/>
      <c r="Q47" s="6"/>
      <c r="S47" s="40">
        <v>147993.66</v>
      </c>
    </row>
    <row r="48" spans="3:19" ht="12" customHeight="1" x14ac:dyDescent="0.2">
      <c r="C48" s="161" t="s">
        <v>72</v>
      </c>
      <c r="D48" s="161"/>
      <c r="E48" s="161"/>
      <c r="F48" s="161"/>
      <c r="H48" s="6" t="s">
        <v>405</v>
      </c>
      <c r="I48" s="6"/>
      <c r="J48" s="6"/>
      <c r="K48" s="6"/>
      <c r="L48" s="6"/>
      <c r="M48" s="6"/>
      <c r="N48" s="6"/>
      <c r="O48" s="6"/>
      <c r="P48" s="6"/>
      <c r="Q48" s="6"/>
      <c r="S48" s="40">
        <v>49875.5</v>
      </c>
    </row>
    <row r="49" spans="2:27" ht="12" customHeight="1" x14ac:dyDescent="0.2">
      <c r="C49" s="134" t="s">
        <v>559</v>
      </c>
      <c r="D49" s="134"/>
      <c r="E49" s="134"/>
      <c r="F49" s="134"/>
      <c r="H49" s="6" t="s">
        <v>560</v>
      </c>
      <c r="I49" s="6"/>
      <c r="J49" s="6"/>
      <c r="K49" s="6"/>
      <c r="L49" s="6"/>
      <c r="M49" s="6"/>
      <c r="N49" s="6"/>
      <c r="O49" s="6"/>
      <c r="P49" s="6"/>
      <c r="Q49" s="6"/>
      <c r="S49" s="40">
        <v>596.82000000000005</v>
      </c>
    </row>
    <row r="50" spans="2:27" ht="12" customHeight="1" x14ac:dyDescent="0.2">
      <c r="C50" s="161" t="s">
        <v>407</v>
      </c>
      <c r="D50" s="161"/>
      <c r="E50" s="161"/>
      <c r="F50" s="161"/>
      <c r="H50" s="6" t="s">
        <v>406</v>
      </c>
      <c r="I50" s="6"/>
      <c r="J50" s="6"/>
      <c r="K50" s="6"/>
      <c r="L50" s="6"/>
      <c r="M50" s="6"/>
      <c r="N50" s="6"/>
      <c r="O50" s="6"/>
      <c r="P50" s="6"/>
      <c r="Q50" s="6"/>
      <c r="S50" s="40">
        <v>3.47</v>
      </c>
    </row>
    <row r="51" spans="2:27" ht="12" customHeight="1" x14ac:dyDescent="0.2">
      <c r="C51" s="161"/>
      <c r="D51" s="161"/>
      <c r="E51" s="161"/>
      <c r="F51" s="161"/>
      <c r="H51" s="6"/>
      <c r="I51" s="6"/>
      <c r="J51" s="6"/>
      <c r="K51" s="6"/>
      <c r="L51" s="6"/>
      <c r="M51" s="6"/>
      <c r="N51" s="6"/>
      <c r="O51" s="6"/>
      <c r="P51" s="6"/>
      <c r="Q51" s="6"/>
      <c r="S51" s="39"/>
    </row>
    <row r="52" spans="2:27" ht="12" customHeight="1" x14ac:dyDescent="0.2">
      <c r="H52" s="162" t="s">
        <v>73</v>
      </c>
      <c r="I52" s="162"/>
      <c r="J52" s="162"/>
      <c r="K52" s="162"/>
      <c r="L52" s="162"/>
      <c r="M52" s="162"/>
      <c r="N52" s="162"/>
      <c r="O52" s="162"/>
      <c r="P52" s="162"/>
      <c r="U52" s="163">
        <f>SUM(S9:S50)</f>
        <v>28567486.660000052</v>
      </c>
      <c r="V52" s="163"/>
      <c r="W52" s="163"/>
      <c r="Z52">
        <v>28067486.66</v>
      </c>
      <c r="AA52" s="45">
        <f>Z52-U52</f>
        <v>-500000.00000005215</v>
      </c>
    </row>
    <row r="53" spans="2:27" ht="12" customHeight="1" x14ac:dyDescent="0.2"/>
    <row r="54" spans="2:27" ht="12" customHeight="1" x14ac:dyDescent="0.2">
      <c r="B54" s="162" t="s">
        <v>74</v>
      </c>
      <c r="C54" s="162"/>
      <c r="D54" s="162"/>
      <c r="E54" s="162"/>
      <c r="F54" s="162"/>
      <c r="G54" s="162"/>
      <c r="H54" s="162"/>
      <c r="I54" s="162"/>
      <c r="J54" s="162"/>
      <c r="K54" s="162"/>
    </row>
    <row r="55" spans="2:27" ht="12" customHeight="1" x14ac:dyDescent="0.2"/>
    <row r="56" spans="2:27" ht="12" customHeight="1" x14ac:dyDescent="0.2">
      <c r="C56" s="161" t="s">
        <v>75</v>
      </c>
      <c r="D56" s="161"/>
      <c r="E56" s="161"/>
      <c r="F56" s="161"/>
      <c r="H56" s="161" t="s">
        <v>76</v>
      </c>
      <c r="I56" s="161"/>
      <c r="J56" s="161"/>
      <c r="K56" s="161"/>
      <c r="L56" s="161"/>
      <c r="M56" s="161"/>
      <c r="N56" s="161"/>
      <c r="O56" s="161"/>
      <c r="P56" s="161"/>
      <c r="Q56" s="161"/>
      <c r="S56" s="40">
        <f>VLOOKUP(H56,[2]Sheet1!$H$91:$S$117,12,FALSE)</f>
        <v>1112375.6499999999</v>
      </c>
    </row>
    <row r="57" spans="2:27" ht="12" customHeight="1" x14ac:dyDescent="0.2">
      <c r="C57" s="161" t="s">
        <v>77</v>
      </c>
      <c r="D57" s="161"/>
      <c r="E57" s="161"/>
      <c r="F57" s="161"/>
      <c r="H57" s="161" t="s">
        <v>78</v>
      </c>
      <c r="I57" s="161"/>
      <c r="J57" s="161"/>
      <c r="K57" s="161"/>
      <c r="L57" s="161"/>
      <c r="M57" s="161"/>
      <c r="N57" s="161"/>
      <c r="O57" s="161"/>
      <c r="P57" s="161"/>
      <c r="Q57" s="161"/>
      <c r="S57" s="40">
        <f>VLOOKUP(H57,[2]Sheet1!$H$91:$S$117,12,FALSE)</f>
        <v>45071.88</v>
      </c>
    </row>
    <row r="58" spans="2:27" ht="12" customHeight="1" x14ac:dyDescent="0.2">
      <c r="C58" s="161" t="s">
        <v>79</v>
      </c>
      <c r="D58" s="161"/>
      <c r="E58" s="161"/>
      <c r="F58" s="161"/>
      <c r="H58" s="161" t="s">
        <v>80</v>
      </c>
      <c r="I58" s="161"/>
      <c r="J58" s="161"/>
      <c r="K58" s="161"/>
      <c r="L58" s="161"/>
      <c r="M58" s="161"/>
      <c r="N58" s="161"/>
      <c r="O58" s="161"/>
      <c r="P58" s="161"/>
      <c r="Q58" s="161"/>
      <c r="S58" s="40">
        <f>VLOOKUP(H58,[2]Sheet1!$H$91:$S$117,12,FALSE)</f>
        <v>715632.48</v>
      </c>
    </row>
    <row r="59" spans="2:27" ht="12" customHeight="1" x14ac:dyDescent="0.2">
      <c r="C59" s="161" t="s">
        <v>81</v>
      </c>
      <c r="D59" s="161"/>
      <c r="E59" s="161"/>
      <c r="F59" s="161"/>
      <c r="H59" s="161" t="s">
        <v>82</v>
      </c>
      <c r="I59" s="161"/>
      <c r="J59" s="161"/>
      <c r="K59" s="161"/>
      <c r="L59" s="161"/>
      <c r="M59" s="161"/>
      <c r="N59" s="161"/>
      <c r="O59" s="161"/>
      <c r="P59" s="161"/>
      <c r="Q59" s="161"/>
      <c r="S59" s="40">
        <f>VLOOKUP(H59,[2]Sheet1!$H$91:$S$117,12,FALSE)</f>
        <v>4588704.43</v>
      </c>
    </row>
    <row r="60" spans="2:27" ht="12" customHeight="1" x14ac:dyDescent="0.2">
      <c r="C60" s="161" t="s">
        <v>83</v>
      </c>
      <c r="D60" s="161"/>
      <c r="E60" s="161"/>
      <c r="F60" s="161"/>
      <c r="H60" s="161" t="s">
        <v>84</v>
      </c>
      <c r="I60" s="161"/>
      <c r="J60" s="161"/>
      <c r="K60" s="161"/>
      <c r="L60" s="161"/>
      <c r="M60" s="161"/>
      <c r="N60" s="161"/>
      <c r="O60" s="161"/>
      <c r="P60" s="161"/>
      <c r="Q60" s="161"/>
      <c r="S60" s="40">
        <f>VLOOKUP(H60,[2]Sheet1!$H$91:$S$117,12,FALSE)</f>
        <v>460539.38</v>
      </c>
    </row>
    <row r="61" spans="2:27" ht="14.25" customHeight="1" x14ac:dyDescent="0.2">
      <c r="C61" s="161" t="s">
        <v>85</v>
      </c>
      <c r="D61" s="161"/>
      <c r="E61" s="161"/>
      <c r="F61" s="161"/>
      <c r="H61" s="161" t="s">
        <v>86</v>
      </c>
      <c r="I61" s="161"/>
      <c r="J61" s="161"/>
      <c r="K61" s="161"/>
      <c r="L61" s="161"/>
      <c r="M61" s="161"/>
      <c r="N61" s="161"/>
      <c r="O61" s="161"/>
      <c r="P61" s="161"/>
      <c r="Q61" s="161"/>
      <c r="S61" s="40">
        <f>VLOOKUP(H61,[2]Sheet1!$H$91:$S$117,12,FALSE)</f>
        <v>60000</v>
      </c>
    </row>
    <row r="62" spans="2:27" ht="12" customHeight="1" x14ac:dyDescent="0.2">
      <c r="C62" s="161" t="s">
        <v>87</v>
      </c>
      <c r="D62" s="161"/>
      <c r="E62" s="161"/>
      <c r="F62" s="161"/>
      <c r="H62" s="161" t="s">
        <v>88</v>
      </c>
      <c r="I62" s="161"/>
      <c r="J62" s="161"/>
      <c r="K62" s="161"/>
      <c r="L62" s="161"/>
      <c r="M62" s="161"/>
      <c r="N62" s="161"/>
      <c r="O62" s="161"/>
      <c r="P62" s="161"/>
      <c r="Q62" s="161"/>
      <c r="S62" s="40">
        <v>3117881.16</v>
      </c>
    </row>
    <row r="63" spans="2:27" ht="12.75" customHeight="1" x14ac:dyDescent="0.2">
      <c r="C63" s="161" t="s">
        <v>89</v>
      </c>
      <c r="D63" s="161"/>
      <c r="E63" s="161"/>
      <c r="F63" s="161"/>
      <c r="H63" s="161" t="s">
        <v>90</v>
      </c>
      <c r="I63" s="161"/>
      <c r="J63" s="161"/>
      <c r="K63" s="161"/>
      <c r="L63" s="161"/>
      <c r="M63" s="161"/>
      <c r="N63" s="161"/>
      <c r="O63" s="161"/>
      <c r="P63" s="161"/>
      <c r="Q63" s="161"/>
      <c r="S63" s="40">
        <f>VLOOKUP(H63,[2]Sheet1!$H$91:$S$117,12,FALSE)</f>
        <v>11428.88</v>
      </c>
    </row>
    <row r="64" spans="2:27" ht="12" customHeight="1" x14ac:dyDescent="0.2">
      <c r="C64" s="161" t="s">
        <v>91</v>
      </c>
      <c r="D64" s="161"/>
      <c r="E64" s="161"/>
      <c r="F64" s="161"/>
      <c r="H64" s="161" t="s">
        <v>92</v>
      </c>
      <c r="I64" s="161"/>
      <c r="J64" s="161"/>
      <c r="K64" s="161"/>
      <c r="L64" s="161"/>
      <c r="M64" s="161"/>
      <c r="N64" s="161"/>
      <c r="O64" s="161"/>
      <c r="P64" s="161"/>
      <c r="Q64" s="161"/>
      <c r="S64" s="40">
        <f>VLOOKUP(H64,[2]Sheet1!$H$91:$S$117,12,FALSE)</f>
        <v>205633.94</v>
      </c>
    </row>
    <row r="65" spans="1:23" ht="12" customHeight="1" x14ac:dyDescent="0.2">
      <c r="C65" s="161" t="s">
        <v>93</v>
      </c>
      <c r="D65" s="161"/>
      <c r="E65" s="161"/>
      <c r="F65" s="161"/>
      <c r="H65" s="161" t="s">
        <v>94</v>
      </c>
      <c r="I65" s="161"/>
      <c r="J65" s="161"/>
      <c r="K65" s="161"/>
      <c r="L65" s="161"/>
      <c r="M65" s="161"/>
      <c r="N65" s="161"/>
      <c r="O65" s="161"/>
      <c r="P65" s="161"/>
      <c r="Q65" s="161"/>
      <c r="S65" s="40">
        <f>VLOOKUP(H65,[2]Sheet1!$H$91:$S$117,12,FALSE)</f>
        <v>2023589.41</v>
      </c>
    </row>
    <row r="66" spans="1:23" ht="12" customHeight="1" x14ac:dyDescent="0.2">
      <c r="C66" s="161" t="s">
        <v>95</v>
      </c>
      <c r="D66" s="161"/>
      <c r="E66" s="161"/>
      <c r="F66" s="161"/>
      <c r="H66" s="161" t="s">
        <v>96</v>
      </c>
      <c r="I66" s="161"/>
      <c r="J66" s="161"/>
      <c r="K66" s="161"/>
      <c r="L66" s="161"/>
      <c r="M66" s="161"/>
      <c r="N66" s="161"/>
      <c r="O66" s="161"/>
      <c r="P66" s="161"/>
      <c r="Q66" s="161"/>
      <c r="S66" s="40">
        <v>4908922.5999999996</v>
      </c>
    </row>
    <row r="67" spans="1:23" ht="12" customHeight="1" x14ac:dyDescent="0.2">
      <c r="C67" s="161" t="s">
        <v>97</v>
      </c>
      <c r="D67" s="161"/>
      <c r="E67" s="161"/>
      <c r="F67" s="161"/>
      <c r="H67" s="161" t="s">
        <v>98</v>
      </c>
      <c r="I67" s="161"/>
      <c r="J67" s="161"/>
      <c r="K67" s="161"/>
      <c r="L67" s="161"/>
      <c r="M67" s="161"/>
      <c r="N67" s="161"/>
      <c r="O67" s="161"/>
      <c r="P67" s="161"/>
      <c r="Q67" s="161"/>
      <c r="S67" s="40">
        <f>VLOOKUP(H67,[2]Sheet1!$H$91:$S$117,12,FALSE)</f>
        <v>70738.81</v>
      </c>
    </row>
    <row r="68" spans="1:23" ht="12" customHeight="1" x14ac:dyDescent="0.2">
      <c r="C68" s="161" t="s">
        <v>99</v>
      </c>
      <c r="D68" s="161"/>
      <c r="E68" s="161"/>
      <c r="F68" s="161"/>
      <c r="H68" s="161" t="s">
        <v>100</v>
      </c>
      <c r="I68" s="161"/>
      <c r="J68" s="161"/>
      <c r="K68" s="161"/>
      <c r="L68" s="161"/>
      <c r="M68" s="161"/>
      <c r="N68" s="161"/>
      <c r="O68" s="161"/>
      <c r="P68" s="161"/>
      <c r="Q68" s="161"/>
      <c r="S68" s="40">
        <v>-7528469.54</v>
      </c>
    </row>
    <row r="69" spans="1:23" ht="12" customHeight="1" x14ac:dyDescent="0.2">
      <c r="C69" s="161" t="s">
        <v>101</v>
      </c>
      <c r="D69" s="161"/>
      <c r="E69" s="161"/>
      <c r="F69" s="161"/>
      <c r="H69" s="161" t="s">
        <v>102</v>
      </c>
      <c r="I69" s="161"/>
      <c r="J69" s="161"/>
      <c r="K69" s="161"/>
      <c r="L69" s="161"/>
      <c r="M69" s="161"/>
      <c r="N69" s="161"/>
      <c r="O69" s="161"/>
      <c r="P69" s="161"/>
      <c r="Q69" s="161"/>
      <c r="S69" s="40">
        <v>-57333.440000000002</v>
      </c>
    </row>
    <row r="70" spans="1:23" ht="12" customHeight="1" x14ac:dyDescent="0.2">
      <c r="H70" s="162" t="s">
        <v>103</v>
      </c>
      <c r="I70" s="162"/>
      <c r="J70" s="162"/>
      <c r="K70" s="162"/>
      <c r="L70" s="162"/>
      <c r="M70" s="162"/>
      <c r="N70" s="162"/>
      <c r="O70" s="162"/>
      <c r="P70" s="162"/>
      <c r="U70" s="167">
        <f>SUM(S56:S69)</f>
        <v>9734715.6400000025</v>
      </c>
      <c r="V70" s="167"/>
      <c r="W70" s="167"/>
    </row>
    <row r="71" spans="1:23" ht="12" customHeight="1" x14ac:dyDescent="0.2">
      <c r="I71" s="162" t="s">
        <v>104</v>
      </c>
      <c r="J71" s="162"/>
      <c r="K71" s="162"/>
      <c r="L71" s="162"/>
      <c r="M71" s="162"/>
      <c r="N71" s="162"/>
      <c r="O71" s="162"/>
      <c r="P71" s="162"/>
      <c r="U71" s="168">
        <f>U52+U70</f>
        <v>38302202.300000057</v>
      </c>
      <c r="V71" s="168"/>
      <c r="W71" s="168"/>
    </row>
    <row r="72" spans="1:23" ht="12" customHeight="1" x14ac:dyDescent="0.2"/>
    <row r="73" spans="1:23" ht="12" customHeight="1" x14ac:dyDescent="0.2">
      <c r="A73" s="162" t="s">
        <v>105</v>
      </c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</row>
    <row r="74" spans="1:23" ht="12" customHeight="1" x14ac:dyDescent="0.2"/>
    <row r="75" spans="1:23" ht="12" customHeight="1" x14ac:dyDescent="0.2">
      <c r="B75" s="162" t="s">
        <v>106</v>
      </c>
      <c r="C75" s="162"/>
      <c r="D75" s="162"/>
      <c r="E75" s="162"/>
      <c r="F75" s="162"/>
      <c r="G75" s="162"/>
      <c r="H75" s="162"/>
      <c r="I75" s="162"/>
      <c r="J75" s="162"/>
      <c r="K75" s="162"/>
    </row>
    <row r="76" spans="1:23" ht="12" customHeight="1" x14ac:dyDescent="0.2">
      <c r="C76" s="161" t="s">
        <v>107</v>
      </c>
      <c r="D76" s="161"/>
      <c r="E76" s="161"/>
      <c r="F76" s="161"/>
      <c r="H76" s="6" t="s">
        <v>108</v>
      </c>
      <c r="I76" s="6"/>
      <c r="J76" s="6"/>
      <c r="K76" s="6"/>
      <c r="L76" s="6"/>
      <c r="M76" s="6"/>
      <c r="N76" s="6"/>
      <c r="O76" s="6"/>
      <c r="P76" s="6"/>
      <c r="Q76" s="6"/>
      <c r="S76" s="40">
        <v>1581347.48</v>
      </c>
    </row>
    <row r="77" spans="1:23" ht="12" customHeight="1" x14ac:dyDescent="0.2">
      <c r="C77" s="161" t="s">
        <v>109</v>
      </c>
      <c r="D77" s="161"/>
      <c r="E77" s="161"/>
      <c r="F77" s="161"/>
      <c r="H77" s="6" t="s">
        <v>110</v>
      </c>
      <c r="I77" s="6"/>
      <c r="J77" s="6"/>
      <c r="K77" s="6"/>
      <c r="L77" s="6"/>
      <c r="M77" s="6"/>
      <c r="N77" s="6"/>
      <c r="O77" s="6"/>
      <c r="P77" s="6"/>
      <c r="Q77" s="6"/>
      <c r="S77" s="40">
        <v>4279098.4800000004</v>
      </c>
    </row>
    <row r="78" spans="1:23" ht="12" customHeight="1" x14ac:dyDescent="0.2">
      <c r="C78" s="161" t="s">
        <v>111</v>
      </c>
      <c r="D78" s="161"/>
      <c r="E78" s="161"/>
      <c r="F78" s="161"/>
      <c r="H78" s="6" t="s">
        <v>112</v>
      </c>
      <c r="I78" s="6"/>
      <c r="J78" s="6"/>
      <c r="K78" s="6"/>
      <c r="L78" s="6"/>
      <c r="M78" s="6"/>
      <c r="N78" s="6"/>
      <c r="O78" s="6"/>
      <c r="P78" s="6"/>
      <c r="Q78" s="6"/>
      <c r="S78" s="40">
        <v>216.55</v>
      </c>
    </row>
    <row r="79" spans="1:23" ht="12" customHeight="1" x14ac:dyDescent="0.2">
      <c r="C79" s="161" t="s">
        <v>113</v>
      </c>
      <c r="D79" s="161"/>
      <c r="E79" s="161"/>
      <c r="F79" s="161"/>
      <c r="H79" s="6" t="s">
        <v>114</v>
      </c>
      <c r="I79" s="6"/>
      <c r="J79" s="6"/>
      <c r="K79" s="6"/>
      <c r="L79" s="6"/>
      <c r="M79" s="6"/>
      <c r="N79" s="6"/>
      <c r="O79" s="6"/>
      <c r="P79" s="6"/>
      <c r="Q79" s="6"/>
      <c r="S79" s="40">
        <v>829.6</v>
      </c>
    </row>
    <row r="80" spans="1:23" ht="12" customHeight="1" x14ac:dyDescent="0.2">
      <c r="C80" s="161" t="s">
        <v>115</v>
      </c>
      <c r="D80" s="161"/>
      <c r="E80" s="161"/>
      <c r="F80" s="161"/>
      <c r="H80" s="6" t="s">
        <v>116</v>
      </c>
      <c r="I80" s="6"/>
      <c r="J80" s="6"/>
      <c r="K80" s="6"/>
      <c r="L80" s="6"/>
      <c r="M80" s="6"/>
      <c r="N80" s="6"/>
      <c r="O80" s="6"/>
      <c r="P80" s="6"/>
      <c r="Q80" s="6"/>
      <c r="S80" s="40">
        <v>-0.02</v>
      </c>
    </row>
    <row r="81" spans="3:19" ht="12" customHeight="1" x14ac:dyDescent="0.2">
      <c r="C81" s="161" t="s">
        <v>117</v>
      </c>
      <c r="D81" s="161"/>
      <c r="E81" s="161"/>
      <c r="F81" s="161"/>
      <c r="H81" s="6" t="s">
        <v>118</v>
      </c>
      <c r="I81" s="6"/>
      <c r="J81" s="6"/>
      <c r="K81" s="6"/>
      <c r="L81" s="6"/>
      <c r="M81" s="6"/>
      <c r="N81" s="6"/>
      <c r="O81" s="6"/>
      <c r="P81" s="6"/>
      <c r="Q81" s="6"/>
      <c r="S81" s="40">
        <v>9623928.1600000001</v>
      </c>
    </row>
    <row r="82" spans="3:19" ht="12" customHeight="1" x14ac:dyDescent="0.2">
      <c r="C82" s="161" t="s">
        <v>119</v>
      </c>
      <c r="D82" s="161"/>
      <c r="E82" s="161"/>
      <c r="F82" s="161"/>
      <c r="H82" s="6" t="s">
        <v>120</v>
      </c>
      <c r="I82" s="6"/>
      <c r="J82" s="6"/>
      <c r="K82" s="6"/>
      <c r="L82" s="6"/>
      <c r="M82" s="6"/>
      <c r="N82" s="6"/>
      <c r="O82" s="6"/>
      <c r="P82" s="6"/>
      <c r="Q82" s="6"/>
      <c r="S82" s="40">
        <v>9140.2999999999993</v>
      </c>
    </row>
    <row r="83" spans="3:19" ht="12" customHeight="1" x14ac:dyDescent="0.2">
      <c r="C83" s="161" t="s">
        <v>121</v>
      </c>
      <c r="D83" s="161"/>
      <c r="E83" s="161"/>
      <c r="F83" s="161"/>
      <c r="H83" s="6" t="s">
        <v>122</v>
      </c>
      <c r="I83" s="6"/>
      <c r="J83" s="6"/>
      <c r="K83" s="6"/>
      <c r="L83" s="6"/>
      <c r="M83" s="6"/>
      <c r="N83" s="6"/>
      <c r="O83" s="6"/>
      <c r="P83" s="6"/>
      <c r="Q83" s="6"/>
      <c r="S83" s="40">
        <v>193121.76</v>
      </c>
    </row>
    <row r="84" spans="3:19" ht="12" customHeight="1" x14ac:dyDescent="0.2">
      <c r="C84" s="161" t="s">
        <v>123</v>
      </c>
      <c r="D84" s="161"/>
      <c r="E84" s="161"/>
      <c r="F84" s="161"/>
      <c r="H84" s="6" t="s">
        <v>124</v>
      </c>
      <c r="I84" s="6"/>
      <c r="J84" s="6"/>
      <c r="K84" s="6"/>
      <c r="L84" s="6"/>
      <c r="M84" s="6"/>
      <c r="N84" s="6"/>
      <c r="O84" s="6"/>
      <c r="P84" s="6"/>
      <c r="Q84" s="6"/>
      <c r="S84" s="40">
        <v>12529.75</v>
      </c>
    </row>
    <row r="85" spans="3:19" ht="12" customHeight="1" x14ac:dyDescent="0.2">
      <c r="C85" s="161" t="s">
        <v>125</v>
      </c>
      <c r="D85" s="161"/>
      <c r="E85" s="161"/>
      <c r="F85" s="161"/>
      <c r="H85" s="6" t="s">
        <v>126</v>
      </c>
      <c r="I85" s="6"/>
      <c r="J85" s="6"/>
      <c r="K85" s="6"/>
      <c r="L85" s="6"/>
      <c r="M85" s="6"/>
      <c r="N85" s="6"/>
      <c r="O85" s="6"/>
      <c r="P85" s="6"/>
      <c r="Q85" s="6"/>
      <c r="S85" s="40">
        <v>88835</v>
      </c>
    </row>
    <row r="86" spans="3:19" ht="12" customHeight="1" x14ac:dyDescent="0.2">
      <c r="C86" s="161" t="s">
        <v>127</v>
      </c>
      <c r="D86" s="161"/>
      <c r="E86" s="161"/>
      <c r="F86" s="161"/>
      <c r="H86" s="6" t="s">
        <v>128</v>
      </c>
      <c r="I86" s="6"/>
      <c r="J86" s="6"/>
      <c r="K86" s="6"/>
      <c r="L86" s="6"/>
      <c r="M86" s="6"/>
      <c r="N86" s="6"/>
      <c r="O86" s="6"/>
      <c r="P86" s="6"/>
      <c r="Q86" s="6"/>
      <c r="S86" s="40">
        <v>127640.61</v>
      </c>
    </row>
    <row r="87" spans="3:19" ht="12" customHeight="1" x14ac:dyDescent="0.2">
      <c r="C87" s="161" t="s">
        <v>129</v>
      </c>
      <c r="D87" s="161"/>
      <c r="E87" s="161"/>
      <c r="F87" s="161"/>
      <c r="H87" s="6" t="s">
        <v>130</v>
      </c>
      <c r="I87" s="6"/>
      <c r="J87" s="6"/>
      <c r="K87" s="6"/>
      <c r="L87" s="6"/>
      <c r="M87" s="6"/>
      <c r="N87" s="6"/>
      <c r="O87" s="6"/>
      <c r="P87" s="6"/>
      <c r="Q87" s="6"/>
      <c r="S87" s="40">
        <v>60589.15</v>
      </c>
    </row>
    <row r="88" spans="3:19" ht="12" customHeight="1" x14ac:dyDescent="0.2">
      <c r="C88" s="161" t="s">
        <v>131</v>
      </c>
      <c r="D88" s="161"/>
      <c r="E88" s="161"/>
      <c r="F88" s="161"/>
      <c r="H88" s="6" t="s">
        <v>132</v>
      </c>
      <c r="I88" s="6"/>
      <c r="J88" s="6"/>
      <c r="K88" s="6"/>
      <c r="L88" s="6"/>
      <c r="M88" s="6"/>
      <c r="N88" s="6"/>
      <c r="O88" s="6"/>
      <c r="P88" s="6"/>
      <c r="Q88" s="6"/>
      <c r="S88" s="40">
        <v>0</v>
      </c>
    </row>
    <row r="89" spans="3:19" ht="12" customHeight="1" x14ac:dyDescent="0.2">
      <c r="C89" s="161" t="s">
        <v>133</v>
      </c>
      <c r="D89" s="161"/>
      <c r="E89" s="161"/>
      <c r="F89" s="161"/>
      <c r="H89" s="6" t="s">
        <v>134</v>
      </c>
      <c r="I89" s="6"/>
      <c r="J89" s="6"/>
      <c r="K89" s="6"/>
      <c r="L89" s="6"/>
      <c r="M89" s="6"/>
      <c r="N89" s="6"/>
      <c r="O89" s="6"/>
      <c r="P89" s="6"/>
      <c r="Q89" s="6"/>
      <c r="S89" s="40">
        <v>5417.74</v>
      </c>
    </row>
    <row r="90" spans="3:19" ht="12" customHeight="1" x14ac:dyDescent="0.2">
      <c r="C90" s="161" t="s">
        <v>135</v>
      </c>
      <c r="D90" s="161"/>
      <c r="E90" s="161"/>
      <c r="F90" s="161"/>
      <c r="H90" s="6" t="s">
        <v>136</v>
      </c>
      <c r="I90" s="6"/>
      <c r="J90" s="6"/>
      <c r="K90" s="6"/>
      <c r="L90" s="6"/>
      <c r="M90" s="6"/>
      <c r="N90" s="6"/>
      <c r="O90" s="6"/>
      <c r="P90" s="6"/>
      <c r="Q90" s="6"/>
      <c r="S90" s="40">
        <v>2693.72</v>
      </c>
    </row>
    <row r="91" spans="3:19" ht="12" customHeight="1" x14ac:dyDescent="0.2">
      <c r="C91" s="161" t="s">
        <v>137</v>
      </c>
      <c r="D91" s="161"/>
      <c r="E91" s="161"/>
      <c r="F91" s="161"/>
      <c r="H91" s="6" t="s">
        <v>138</v>
      </c>
      <c r="I91" s="6"/>
      <c r="J91" s="6"/>
      <c r="K91" s="6"/>
      <c r="L91" s="6"/>
      <c r="M91" s="6"/>
      <c r="N91" s="6"/>
      <c r="O91" s="6"/>
      <c r="P91" s="6"/>
      <c r="Q91" s="6"/>
      <c r="S91" s="40">
        <v>-882.14</v>
      </c>
    </row>
    <row r="92" spans="3:19" ht="12" customHeight="1" x14ac:dyDescent="0.2">
      <c r="C92" s="161" t="s">
        <v>139</v>
      </c>
      <c r="D92" s="161"/>
      <c r="E92" s="161"/>
      <c r="F92" s="161"/>
      <c r="H92" s="6" t="s">
        <v>140</v>
      </c>
      <c r="I92" s="6"/>
      <c r="J92" s="6"/>
      <c r="K92" s="6"/>
      <c r="L92" s="6"/>
      <c r="M92" s="6"/>
      <c r="N92" s="6"/>
      <c r="O92" s="6"/>
      <c r="P92" s="6"/>
      <c r="Q92" s="6"/>
      <c r="S92" s="40">
        <v>0</v>
      </c>
    </row>
    <row r="93" spans="3:19" ht="12" customHeight="1" x14ac:dyDescent="0.2">
      <c r="C93" s="161" t="s">
        <v>141</v>
      </c>
      <c r="D93" s="161"/>
      <c r="E93" s="161"/>
      <c r="F93" s="161"/>
      <c r="H93" s="6" t="s">
        <v>142</v>
      </c>
      <c r="I93" s="6"/>
      <c r="J93" s="6"/>
      <c r="K93" s="6"/>
      <c r="L93" s="6"/>
      <c r="M93" s="6"/>
      <c r="N93" s="6"/>
      <c r="O93" s="6"/>
      <c r="P93" s="6"/>
      <c r="Q93" s="6"/>
      <c r="S93" s="40">
        <v>-3899.36</v>
      </c>
    </row>
    <row r="94" spans="3:19" ht="12" customHeight="1" x14ac:dyDescent="0.2">
      <c r="C94" s="161" t="s">
        <v>143</v>
      </c>
      <c r="D94" s="161"/>
      <c r="E94" s="161"/>
      <c r="F94" s="161"/>
      <c r="H94" s="6" t="s">
        <v>144</v>
      </c>
      <c r="I94" s="6"/>
      <c r="J94" s="6"/>
      <c r="K94" s="6"/>
      <c r="L94" s="6"/>
      <c r="M94" s="6"/>
      <c r="N94" s="6"/>
      <c r="O94" s="6"/>
      <c r="P94" s="6"/>
      <c r="Q94" s="6"/>
      <c r="S94" s="40">
        <v>607985.46</v>
      </c>
    </row>
    <row r="95" spans="3:19" ht="12" customHeight="1" x14ac:dyDescent="0.2">
      <c r="C95" s="161" t="s">
        <v>145</v>
      </c>
      <c r="D95" s="161"/>
      <c r="E95" s="161"/>
      <c r="F95" s="161"/>
      <c r="H95" s="6" t="s">
        <v>408</v>
      </c>
      <c r="I95" s="6"/>
      <c r="J95" s="6"/>
      <c r="K95" s="6"/>
      <c r="L95" s="6"/>
      <c r="M95" s="6"/>
      <c r="N95" s="6"/>
      <c r="O95" s="6"/>
      <c r="P95" s="6"/>
      <c r="Q95" s="6"/>
      <c r="S95" s="40">
        <v>4000000</v>
      </c>
    </row>
    <row r="96" spans="3:19" ht="12" customHeight="1" x14ac:dyDescent="0.2">
      <c r="C96" s="161">
        <v>2301</v>
      </c>
      <c r="D96" s="161"/>
      <c r="E96" s="161"/>
      <c r="F96" s="161"/>
      <c r="H96" s="6" t="s">
        <v>409</v>
      </c>
      <c r="I96" s="6"/>
      <c r="J96" s="6"/>
      <c r="K96" s="6"/>
      <c r="L96" s="6"/>
      <c r="M96" s="6"/>
      <c r="N96" s="6"/>
      <c r="O96" s="6"/>
      <c r="P96" s="6"/>
      <c r="Q96" s="6"/>
      <c r="S96" s="40">
        <v>1700000</v>
      </c>
    </row>
    <row r="97" spans="2:23" ht="12" customHeight="1" x14ac:dyDescent="0.2">
      <c r="C97" s="160" t="s">
        <v>237</v>
      </c>
      <c r="D97" s="160"/>
      <c r="E97" s="160"/>
      <c r="F97" s="160"/>
      <c r="H97" s="160" t="s">
        <v>581</v>
      </c>
      <c r="I97" s="160"/>
      <c r="J97" s="160"/>
      <c r="K97" s="160"/>
      <c r="L97" s="160"/>
      <c r="M97" s="160"/>
      <c r="N97" s="160"/>
      <c r="O97" s="160"/>
      <c r="P97" s="160"/>
      <c r="Q97" s="160"/>
      <c r="S97" s="40">
        <v>7500</v>
      </c>
    </row>
    <row r="98" spans="2:23" ht="12" customHeight="1" x14ac:dyDescent="0.2">
      <c r="C98" s="160" t="s">
        <v>237</v>
      </c>
      <c r="D98" s="160"/>
      <c r="E98" s="160"/>
      <c r="F98" s="160"/>
      <c r="H98" s="160" t="s">
        <v>575</v>
      </c>
      <c r="I98" s="160"/>
      <c r="J98" s="160"/>
      <c r="K98" s="160"/>
      <c r="L98" s="160"/>
      <c r="M98" s="160"/>
      <c r="N98" s="160"/>
      <c r="O98" s="160"/>
      <c r="P98" s="160"/>
      <c r="Q98" s="160"/>
      <c r="S98" s="40">
        <v>33400</v>
      </c>
    </row>
    <row r="99" spans="2:23" ht="12" customHeight="1" x14ac:dyDescent="0.2">
      <c r="C99" s="166" t="s">
        <v>548</v>
      </c>
      <c r="D99" s="161"/>
      <c r="E99" s="161"/>
      <c r="F99" s="161"/>
      <c r="H99" s="161" t="s">
        <v>552</v>
      </c>
      <c r="I99" s="161"/>
      <c r="J99" s="161"/>
      <c r="K99" s="161"/>
      <c r="L99" s="161"/>
      <c r="M99" s="161"/>
      <c r="N99" s="161"/>
      <c r="O99" s="161"/>
      <c r="P99" s="161"/>
      <c r="Q99" s="161"/>
      <c r="S99" s="40">
        <v>471693.71</v>
      </c>
    </row>
    <row r="100" spans="2:23" ht="12" customHeight="1" x14ac:dyDescent="0.2">
      <c r="C100" s="166" t="s">
        <v>549</v>
      </c>
      <c r="D100" s="161"/>
      <c r="E100" s="161"/>
      <c r="F100" s="161"/>
      <c r="H100" s="161" t="s">
        <v>550</v>
      </c>
      <c r="I100" s="161"/>
      <c r="J100" s="161"/>
      <c r="K100" s="161"/>
      <c r="L100" s="161"/>
      <c r="M100" s="161"/>
      <c r="N100" s="161"/>
      <c r="O100" s="161"/>
      <c r="P100" s="161"/>
      <c r="Q100" s="161"/>
      <c r="S100" s="40">
        <v>50513.36</v>
      </c>
    </row>
    <row r="101" spans="2:23" ht="12" customHeight="1" x14ac:dyDescent="0.2">
      <c r="C101" s="166">
        <v>2433</v>
      </c>
      <c r="D101" s="161"/>
      <c r="E101" s="161"/>
      <c r="F101" s="161"/>
      <c r="H101" s="161" t="s">
        <v>551</v>
      </c>
      <c r="I101" s="161"/>
      <c r="J101" s="161"/>
      <c r="K101" s="161"/>
      <c r="L101" s="161"/>
      <c r="M101" s="161"/>
      <c r="N101" s="161"/>
      <c r="O101" s="161"/>
      <c r="P101" s="161"/>
      <c r="Q101" s="161"/>
      <c r="S101" s="40">
        <v>50412.67</v>
      </c>
    </row>
    <row r="102" spans="2:23" ht="12" customHeight="1" x14ac:dyDescent="0.2">
      <c r="C102" s="161" t="s">
        <v>147</v>
      </c>
      <c r="D102" s="161"/>
      <c r="E102" s="161"/>
      <c r="F102" s="161"/>
      <c r="H102" s="6" t="s">
        <v>410</v>
      </c>
      <c r="I102" s="6"/>
      <c r="J102" s="6"/>
      <c r="K102" s="6"/>
      <c r="L102" s="6"/>
      <c r="M102" s="6"/>
      <c r="N102" s="6"/>
      <c r="O102" s="6"/>
      <c r="P102" s="6"/>
      <c r="Q102" s="6"/>
      <c r="S102" s="40">
        <v>0</v>
      </c>
    </row>
    <row r="103" spans="2:23" ht="12" customHeight="1" x14ac:dyDescent="0.2">
      <c r="C103" s="161" t="s">
        <v>148</v>
      </c>
      <c r="D103" s="161"/>
      <c r="E103" s="161"/>
      <c r="F103" s="161"/>
      <c r="H103" s="6" t="s">
        <v>563</v>
      </c>
      <c r="I103" s="6"/>
      <c r="J103" s="6"/>
      <c r="K103" s="6"/>
      <c r="L103" s="6"/>
      <c r="M103" s="6"/>
      <c r="N103" s="6"/>
      <c r="O103" s="6"/>
      <c r="P103" s="6"/>
      <c r="Q103" s="6"/>
      <c r="S103" s="40">
        <v>0</v>
      </c>
    </row>
    <row r="104" spans="2:23" ht="12" customHeight="1" x14ac:dyDescent="0.2">
      <c r="C104" s="161" t="s">
        <v>602</v>
      </c>
      <c r="D104" s="161"/>
      <c r="E104" s="161"/>
      <c r="F104" s="161"/>
      <c r="H104" s="6" t="s">
        <v>603</v>
      </c>
      <c r="I104" s="6"/>
      <c r="J104" s="6"/>
      <c r="K104" s="6"/>
      <c r="L104" s="6"/>
      <c r="M104" s="6"/>
      <c r="N104" s="6"/>
      <c r="O104" s="6"/>
      <c r="P104" s="6"/>
      <c r="Q104" s="6"/>
      <c r="S104" s="40">
        <v>5115.68</v>
      </c>
    </row>
    <row r="105" spans="2:23" ht="12" customHeight="1" x14ac:dyDescent="0.2">
      <c r="H105" s="162" t="s">
        <v>149</v>
      </c>
      <c r="I105" s="162"/>
      <c r="J105" s="162"/>
      <c r="K105" s="162"/>
      <c r="L105" s="162"/>
      <c r="M105" s="162"/>
      <c r="N105" s="162"/>
      <c r="O105" s="162"/>
      <c r="P105" s="162"/>
      <c r="U105" s="163">
        <f>SUM(S76:S104)</f>
        <v>22907227.660000004</v>
      </c>
      <c r="V105" s="163"/>
      <c r="W105" s="163"/>
    </row>
    <row r="106" spans="2:23" ht="12" customHeight="1" x14ac:dyDescent="0.2"/>
    <row r="107" spans="2:23" ht="12" customHeight="1" x14ac:dyDescent="0.2">
      <c r="B107" s="162" t="s">
        <v>150</v>
      </c>
      <c r="C107" s="162"/>
      <c r="D107" s="162"/>
      <c r="E107" s="162"/>
      <c r="F107" s="162"/>
      <c r="G107" s="162"/>
      <c r="H107" s="162"/>
      <c r="I107" s="162"/>
      <c r="J107" s="162"/>
      <c r="K107" s="162"/>
    </row>
    <row r="108" spans="2:23" ht="12" customHeight="1" x14ac:dyDescent="0.2">
      <c r="C108" s="161" t="s">
        <v>151</v>
      </c>
      <c r="D108" s="161"/>
      <c r="E108" s="161"/>
      <c r="F108" s="161"/>
      <c r="H108" s="161" t="s">
        <v>152</v>
      </c>
      <c r="I108" s="161"/>
      <c r="J108" s="161"/>
      <c r="K108" s="161"/>
      <c r="L108" s="161"/>
      <c r="M108" s="161"/>
      <c r="N108" s="161"/>
      <c r="O108" s="161"/>
      <c r="P108" s="161"/>
      <c r="Q108" s="161"/>
      <c r="S108" s="40">
        <v>2447885.37</v>
      </c>
    </row>
    <row r="109" spans="2:23" ht="12" customHeight="1" x14ac:dyDescent="0.2">
      <c r="C109" s="161" t="s">
        <v>153</v>
      </c>
      <c r="D109" s="161"/>
      <c r="E109" s="161"/>
      <c r="F109" s="161"/>
      <c r="H109" s="161" t="s">
        <v>154</v>
      </c>
      <c r="I109" s="161"/>
      <c r="J109" s="161"/>
      <c r="K109" s="161"/>
      <c r="L109" s="161"/>
      <c r="M109" s="161"/>
      <c r="N109" s="161"/>
      <c r="O109" s="161"/>
      <c r="P109" s="161"/>
      <c r="Q109" s="161"/>
      <c r="S109" s="40">
        <v>16140.54</v>
      </c>
    </row>
    <row r="110" spans="2:23" ht="12" customHeight="1" x14ac:dyDescent="0.2">
      <c r="C110" s="161" t="s">
        <v>155</v>
      </c>
      <c r="D110" s="161"/>
      <c r="E110" s="161"/>
      <c r="F110" s="161"/>
      <c r="H110" s="161" t="s">
        <v>156</v>
      </c>
      <c r="I110" s="161"/>
      <c r="J110" s="161"/>
      <c r="K110" s="161"/>
      <c r="L110" s="161"/>
      <c r="M110" s="161"/>
      <c r="N110" s="161"/>
      <c r="O110" s="161"/>
      <c r="P110" s="161"/>
      <c r="Q110" s="161"/>
      <c r="S110" s="40">
        <v>4186.33</v>
      </c>
    </row>
    <row r="111" spans="2:23" ht="12" customHeight="1" x14ac:dyDescent="0.2">
      <c r="C111" s="161" t="s">
        <v>157</v>
      </c>
      <c r="D111" s="161"/>
      <c r="E111" s="161"/>
      <c r="F111" s="161"/>
      <c r="H111" s="161" t="s">
        <v>158</v>
      </c>
      <c r="I111" s="161"/>
      <c r="J111" s="161"/>
      <c r="K111" s="161"/>
      <c r="L111" s="161"/>
      <c r="M111" s="161"/>
      <c r="N111" s="161"/>
      <c r="O111" s="161"/>
      <c r="P111" s="161"/>
      <c r="Q111" s="161"/>
      <c r="S111" s="40">
        <v>19096.16</v>
      </c>
    </row>
    <row r="112" spans="2:23" ht="12" customHeight="1" x14ac:dyDescent="0.2">
      <c r="C112" s="24"/>
      <c r="D112" s="24"/>
      <c r="E112" s="24"/>
      <c r="F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S112" s="40"/>
    </row>
    <row r="113" spans="1:23" ht="12" customHeight="1" x14ac:dyDescent="0.2">
      <c r="H113" s="162" t="s">
        <v>159</v>
      </c>
      <c r="I113" s="162"/>
      <c r="J113" s="162"/>
      <c r="K113" s="162"/>
      <c r="L113" s="162"/>
      <c r="M113" s="162"/>
      <c r="N113" s="162"/>
      <c r="O113" s="162"/>
      <c r="P113" s="162"/>
      <c r="U113" s="167">
        <f>SUM(S108:S111)</f>
        <v>2487308.4000000004</v>
      </c>
      <c r="V113" s="167"/>
      <c r="W113" s="167"/>
    </row>
    <row r="114" spans="1:23" ht="12" customHeight="1" x14ac:dyDescent="0.2"/>
    <row r="115" spans="1:23" ht="12" customHeight="1" x14ac:dyDescent="0.2">
      <c r="I115" s="162" t="s">
        <v>160</v>
      </c>
      <c r="J115" s="162"/>
      <c r="K115" s="162"/>
      <c r="L115" s="162"/>
      <c r="M115" s="162"/>
      <c r="N115" s="162"/>
      <c r="O115" s="162"/>
      <c r="P115" s="162"/>
      <c r="U115" s="163">
        <f>U105+U113</f>
        <v>25394536.060000002</v>
      </c>
      <c r="V115" s="163"/>
      <c r="W115" s="163"/>
    </row>
    <row r="116" spans="1:23" ht="12" customHeight="1" x14ac:dyDescent="0.2"/>
    <row r="117" spans="1:23" ht="12" customHeight="1" x14ac:dyDescent="0.2">
      <c r="A117" s="162" t="s">
        <v>161</v>
      </c>
      <c r="B117" s="162"/>
      <c r="C117" s="162"/>
      <c r="D117" s="162"/>
      <c r="E117" s="162"/>
      <c r="F117" s="162"/>
      <c r="G117" s="162"/>
      <c r="H117" s="162"/>
      <c r="I117" s="162"/>
      <c r="J117" s="162"/>
      <c r="K117" s="162"/>
      <c r="L117" s="162"/>
      <c r="M117" s="162"/>
    </row>
    <row r="118" spans="1:23" ht="12" customHeight="1" x14ac:dyDescent="0.2">
      <c r="C118" s="161" t="s">
        <v>162</v>
      </c>
      <c r="D118" s="161"/>
      <c r="E118" s="161"/>
      <c r="F118" s="161"/>
      <c r="H118" s="161" t="s">
        <v>163</v>
      </c>
      <c r="I118" s="161"/>
      <c r="J118" s="161"/>
      <c r="K118" s="161"/>
      <c r="L118" s="161"/>
      <c r="M118" s="161"/>
      <c r="N118" s="161"/>
      <c r="O118" s="161"/>
      <c r="P118" s="161"/>
      <c r="Q118" s="161"/>
      <c r="S118" s="40">
        <v>152325</v>
      </c>
    </row>
    <row r="119" spans="1:23" ht="12" customHeight="1" x14ac:dyDescent="0.2">
      <c r="C119" s="161" t="s">
        <v>164</v>
      </c>
      <c r="D119" s="161"/>
      <c r="E119" s="161"/>
      <c r="F119" s="161"/>
      <c r="H119" s="161" t="s">
        <v>165</v>
      </c>
      <c r="I119" s="161"/>
      <c r="J119" s="161"/>
      <c r="K119" s="161"/>
      <c r="L119" s="161"/>
      <c r="M119" s="161"/>
      <c r="N119" s="161"/>
      <c r="O119" s="161"/>
      <c r="P119" s="161"/>
      <c r="Q119" s="161"/>
      <c r="S119" s="40">
        <v>1709758</v>
      </c>
    </row>
    <row r="120" spans="1:23" ht="12" customHeight="1" x14ac:dyDescent="0.2">
      <c r="C120" s="161" t="s">
        <v>166</v>
      </c>
      <c r="D120" s="161"/>
      <c r="E120" s="161"/>
      <c r="F120" s="161"/>
      <c r="H120" s="161" t="s">
        <v>167</v>
      </c>
      <c r="I120" s="161"/>
      <c r="J120" s="161"/>
      <c r="K120" s="161"/>
      <c r="L120" s="161"/>
      <c r="M120" s="161"/>
      <c r="N120" s="161"/>
      <c r="O120" s="161"/>
      <c r="P120" s="161"/>
      <c r="Q120" s="161"/>
      <c r="S120" s="40">
        <f>-592924.36+500000</f>
        <v>-92924.359999999986</v>
      </c>
    </row>
    <row r="121" spans="1:23" ht="11.25" customHeight="1" x14ac:dyDescent="0.2">
      <c r="C121" s="161" t="s">
        <v>166</v>
      </c>
      <c r="D121" s="161"/>
      <c r="E121" s="161"/>
      <c r="F121" s="161"/>
      <c r="H121" s="161" t="s">
        <v>168</v>
      </c>
      <c r="I121" s="161"/>
      <c r="J121" s="161"/>
      <c r="K121" s="161"/>
      <c r="L121" s="161"/>
      <c r="M121" s="161"/>
      <c r="N121" s="161"/>
      <c r="O121" s="161"/>
      <c r="P121" s="161"/>
      <c r="Q121" s="161"/>
      <c r="S121" s="40">
        <v>11135312.050000001</v>
      </c>
    </row>
    <row r="122" spans="1:23" ht="11.25" customHeight="1" x14ac:dyDescent="0.2">
      <c r="C122" s="166" t="s">
        <v>553</v>
      </c>
      <c r="D122" s="161"/>
      <c r="E122" s="161"/>
      <c r="F122" s="161"/>
      <c r="H122" s="161" t="s">
        <v>554</v>
      </c>
      <c r="I122" s="161"/>
      <c r="J122" s="161"/>
      <c r="K122" s="161"/>
      <c r="L122" s="161"/>
      <c r="M122" s="161"/>
      <c r="N122" s="161"/>
      <c r="O122" s="161"/>
      <c r="P122" s="161"/>
      <c r="Q122" s="161"/>
      <c r="S122" s="40">
        <v>21195.55</v>
      </c>
    </row>
    <row r="123" spans="1:23" ht="12" customHeight="1" x14ac:dyDescent="0.2">
      <c r="C123" s="161" t="s">
        <v>169</v>
      </c>
      <c r="D123" s="161"/>
      <c r="E123" s="161"/>
      <c r="F123" s="161"/>
      <c r="H123" s="161" t="s">
        <v>170</v>
      </c>
      <c r="I123" s="161"/>
      <c r="J123" s="161"/>
      <c r="K123" s="161"/>
      <c r="L123" s="161"/>
      <c r="M123" s="161"/>
      <c r="N123" s="161"/>
      <c r="O123" s="161"/>
      <c r="P123" s="161"/>
      <c r="Q123" s="161"/>
      <c r="S123" s="40">
        <v>0</v>
      </c>
    </row>
    <row r="124" spans="1:23" ht="12" customHeight="1" x14ac:dyDescent="0.2">
      <c r="C124" s="161" t="s">
        <v>171</v>
      </c>
      <c r="D124" s="161"/>
      <c r="E124" s="161"/>
      <c r="F124" s="161"/>
      <c r="H124" s="161" t="s">
        <v>172</v>
      </c>
      <c r="I124" s="161"/>
      <c r="J124" s="161"/>
      <c r="K124" s="161"/>
      <c r="L124" s="161"/>
      <c r="M124" s="161"/>
      <c r="N124" s="161"/>
      <c r="O124" s="161"/>
      <c r="P124" s="161"/>
      <c r="Q124" s="161"/>
      <c r="S124" s="40">
        <v>-6000</v>
      </c>
    </row>
    <row r="125" spans="1:23" ht="12" customHeight="1" x14ac:dyDescent="0.2">
      <c r="C125" s="161" t="s">
        <v>173</v>
      </c>
      <c r="D125" s="161"/>
      <c r="E125" s="161"/>
      <c r="F125" s="161"/>
      <c r="H125" s="161" t="s">
        <v>174</v>
      </c>
      <c r="I125" s="161"/>
      <c r="J125" s="161"/>
      <c r="K125" s="161"/>
      <c r="L125" s="161"/>
      <c r="M125" s="161"/>
      <c r="N125" s="161"/>
      <c r="O125" s="161"/>
      <c r="P125" s="161"/>
      <c r="Q125" s="161"/>
      <c r="S125" s="40">
        <v>-6000</v>
      </c>
    </row>
    <row r="126" spans="1:23" ht="12" customHeight="1" x14ac:dyDescent="0.2">
      <c r="C126" s="161" t="s">
        <v>175</v>
      </c>
      <c r="D126" s="161"/>
      <c r="E126" s="161"/>
      <c r="F126" s="161"/>
      <c r="H126" s="161" t="s">
        <v>176</v>
      </c>
      <c r="I126" s="161"/>
      <c r="J126" s="161"/>
      <c r="K126" s="161"/>
      <c r="L126" s="161"/>
      <c r="M126" s="161"/>
      <c r="N126" s="161"/>
      <c r="O126" s="161"/>
      <c r="P126" s="161"/>
      <c r="Q126" s="161"/>
      <c r="S126" s="42">
        <v>-6000</v>
      </c>
    </row>
    <row r="127" spans="1:23" ht="12" customHeight="1" x14ac:dyDescent="0.2">
      <c r="I127" s="162" t="s">
        <v>177</v>
      </c>
      <c r="J127" s="162"/>
      <c r="K127" s="162"/>
      <c r="L127" s="162"/>
      <c r="M127" s="162"/>
      <c r="N127" s="162"/>
      <c r="O127" s="162"/>
      <c r="P127" s="162"/>
      <c r="U127" s="163">
        <f>SUM(S118:S126)</f>
        <v>12907666.240000002</v>
      </c>
      <c r="V127" s="163"/>
      <c r="W127" s="163"/>
    </row>
    <row r="128" spans="1:23" ht="12" customHeight="1" x14ac:dyDescent="0.2">
      <c r="I128" s="162" t="s">
        <v>178</v>
      </c>
      <c r="J128" s="162"/>
      <c r="K128" s="162"/>
      <c r="L128" s="162"/>
      <c r="M128" s="162"/>
      <c r="N128" s="162"/>
      <c r="O128" s="162"/>
      <c r="P128" s="162"/>
    </row>
    <row r="129" spans="9:23" ht="12" customHeight="1" thickBot="1" x14ac:dyDescent="0.25">
      <c r="I129" s="162"/>
      <c r="J129" s="162"/>
      <c r="K129" s="162"/>
      <c r="L129" s="162"/>
      <c r="M129" s="162"/>
      <c r="N129" s="162"/>
      <c r="O129" s="162"/>
      <c r="P129" s="162"/>
      <c r="U129" s="165">
        <f>U115+U127</f>
        <v>38302202.300000004</v>
      </c>
      <c r="V129" s="165"/>
      <c r="W129" s="165"/>
    </row>
    <row r="130" spans="9:23" ht="12" customHeight="1" thickTop="1" x14ac:dyDescent="0.2">
      <c r="U130" s="164"/>
      <c r="V130" s="164"/>
      <c r="W130" s="164"/>
    </row>
    <row r="131" spans="9:23" ht="12" customHeight="1" x14ac:dyDescent="0.2">
      <c r="U131" s="164"/>
      <c r="V131" s="164"/>
      <c r="W131" s="164"/>
    </row>
    <row r="132" spans="9:23" ht="12" customHeight="1" x14ac:dyDescent="0.2">
      <c r="S132" s="37" t="s">
        <v>411</v>
      </c>
      <c r="U132" s="164">
        <f>U71-U129</f>
        <v>0</v>
      </c>
      <c r="V132" s="164"/>
      <c r="W132" s="164"/>
    </row>
    <row r="133" spans="9:23" ht="12" customHeight="1" x14ac:dyDescent="0.2"/>
    <row r="134" spans="9:23" ht="12" customHeight="1" x14ac:dyDescent="0.2"/>
    <row r="135" spans="9:23" ht="12" customHeight="1" x14ac:dyDescent="0.2"/>
  </sheetData>
  <mergeCells count="159">
    <mergeCell ref="C21:F21"/>
    <mergeCell ref="C22:F22"/>
    <mergeCell ref="C23:F23"/>
    <mergeCell ref="C18:F18"/>
    <mergeCell ref="C19:F19"/>
    <mergeCell ref="C20:F20"/>
    <mergeCell ref="C27:F27"/>
    <mergeCell ref="A1:X1"/>
    <mergeCell ref="A3:X3"/>
    <mergeCell ref="A4:X4"/>
    <mergeCell ref="A5:M5"/>
    <mergeCell ref="B7:K7"/>
    <mergeCell ref="C10:F10"/>
    <mergeCell ref="C14:F14"/>
    <mergeCell ref="C15:F15"/>
    <mergeCell ref="C16:F16"/>
    <mergeCell ref="C11:F11"/>
    <mergeCell ref="C12:F12"/>
    <mergeCell ref="C13:F13"/>
    <mergeCell ref="C17:F17"/>
    <mergeCell ref="C9:F9"/>
    <mergeCell ref="C37:F37"/>
    <mergeCell ref="C38:F38"/>
    <mergeCell ref="C40:F40"/>
    <mergeCell ref="C47:F47"/>
    <mergeCell ref="C48:F48"/>
    <mergeCell ref="C28:F28"/>
    <mergeCell ref="C29:F29"/>
    <mergeCell ref="C24:F24"/>
    <mergeCell ref="C25:F25"/>
    <mergeCell ref="C26:F26"/>
    <mergeCell ref="C34:F34"/>
    <mergeCell ref="C35:F35"/>
    <mergeCell ref="C36:F36"/>
    <mergeCell ref="C30:F30"/>
    <mergeCell ref="C32:F32"/>
    <mergeCell ref="C33:F33"/>
    <mergeCell ref="C31:F31"/>
    <mergeCell ref="C39:F39"/>
    <mergeCell ref="H52:P52"/>
    <mergeCell ref="U52:W52"/>
    <mergeCell ref="C44:F44"/>
    <mergeCell ref="C45:F45"/>
    <mergeCell ref="C46:F46"/>
    <mergeCell ref="C50:F50"/>
    <mergeCell ref="B54:K54"/>
    <mergeCell ref="C51:F51"/>
    <mergeCell ref="C41:F41"/>
    <mergeCell ref="C42:F42"/>
    <mergeCell ref="C43:F43"/>
    <mergeCell ref="C56:F56"/>
    <mergeCell ref="H56:Q56"/>
    <mergeCell ref="C57:F57"/>
    <mergeCell ref="H57:Q57"/>
    <mergeCell ref="C58:F58"/>
    <mergeCell ref="H58:Q58"/>
    <mergeCell ref="C59:F59"/>
    <mergeCell ref="H59:Q59"/>
    <mergeCell ref="C60:F60"/>
    <mergeCell ref="H60:Q60"/>
    <mergeCell ref="C61:F61"/>
    <mergeCell ref="H61:Q61"/>
    <mergeCell ref="C62:F62"/>
    <mergeCell ref="H62:Q62"/>
    <mergeCell ref="C63:F63"/>
    <mergeCell ref="H63:Q63"/>
    <mergeCell ref="C64:F64"/>
    <mergeCell ref="H64:Q64"/>
    <mergeCell ref="C65:F65"/>
    <mergeCell ref="H65:Q65"/>
    <mergeCell ref="C66:F66"/>
    <mergeCell ref="H66:Q66"/>
    <mergeCell ref="C67:F67"/>
    <mergeCell ref="H67:Q67"/>
    <mergeCell ref="C68:F68"/>
    <mergeCell ref="H68:Q68"/>
    <mergeCell ref="C69:F69"/>
    <mergeCell ref="H69:Q69"/>
    <mergeCell ref="H70:P70"/>
    <mergeCell ref="U70:W70"/>
    <mergeCell ref="C77:F77"/>
    <mergeCell ref="C78:F78"/>
    <mergeCell ref="C79:F79"/>
    <mergeCell ref="I71:P71"/>
    <mergeCell ref="U71:W71"/>
    <mergeCell ref="A73:M73"/>
    <mergeCell ref="B75:K75"/>
    <mergeCell ref="C76:F76"/>
    <mergeCell ref="C80:F80"/>
    <mergeCell ref="C81:F81"/>
    <mergeCell ref="C82:F82"/>
    <mergeCell ref="C95:F95"/>
    <mergeCell ref="C102:F102"/>
    <mergeCell ref="C103:F103"/>
    <mergeCell ref="C92:F92"/>
    <mergeCell ref="C93:F93"/>
    <mergeCell ref="C94:F94"/>
    <mergeCell ref="C96:F96"/>
    <mergeCell ref="C99:F99"/>
    <mergeCell ref="C100:F100"/>
    <mergeCell ref="C101:F101"/>
    <mergeCell ref="C89:F89"/>
    <mergeCell ref="C90:F90"/>
    <mergeCell ref="C91:F91"/>
    <mergeCell ref="C86:F86"/>
    <mergeCell ref="C87:F87"/>
    <mergeCell ref="C88:F88"/>
    <mergeCell ref="C83:F83"/>
    <mergeCell ref="C84:F84"/>
    <mergeCell ref="C85:F85"/>
    <mergeCell ref="C97:F97"/>
    <mergeCell ref="H99:Q99"/>
    <mergeCell ref="H100:Q100"/>
    <mergeCell ref="H101:Q101"/>
    <mergeCell ref="H109:Q109"/>
    <mergeCell ref="H110:Q110"/>
    <mergeCell ref="C98:F98"/>
    <mergeCell ref="H98:Q98"/>
    <mergeCell ref="C111:F111"/>
    <mergeCell ref="H111:Q111"/>
    <mergeCell ref="C104:F104"/>
    <mergeCell ref="H122:Q122"/>
    <mergeCell ref="H113:P113"/>
    <mergeCell ref="C120:F120"/>
    <mergeCell ref="H120:Q120"/>
    <mergeCell ref="C121:F121"/>
    <mergeCell ref="H121:Q121"/>
    <mergeCell ref="U113:W113"/>
    <mergeCell ref="H105:P105"/>
    <mergeCell ref="U105:W105"/>
    <mergeCell ref="B107:K107"/>
    <mergeCell ref="C108:F108"/>
    <mergeCell ref="H108:Q108"/>
    <mergeCell ref="C110:F110"/>
    <mergeCell ref="C109:F109"/>
    <mergeCell ref="H97:Q97"/>
    <mergeCell ref="C123:F123"/>
    <mergeCell ref="C124:F124"/>
    <mergeCell ref="H123:Q123"/>
    <mergeCell ref="I115:P115"/>
    <mergeCell ref="U115:W115"/>
    <mergeCell ref="A117:M117"/>
    <mergeCell ref="U131:W131"/>
    <mergeCell ref="U132:W132"/>
    <mergeCell ref="I127:P127"/>
    <mergeCell ref="U127:W127"/>
    <mergeCell ref="I128:P129"/>
    <mergeCell ref="U129:W129"/>
    <mergeCell ref="U130:W130"/>
    <mergeCell ref="H124:Q124"/>
    <mergeCell ref="C125:F125"/>
    <mergeCell ref="H125:Q125"/>
    <mergeCell ref="C126:F126"/>
    <mergeCell ref="H126:Q126"/>
    <mergeCell ref="C118:F118"/>
    <mergeCell ref="H118:Q118"/>
    <mergeCell ref="C119:F119"/>
    <mergeCell ref="H119:Q119"/>
    <mergeCell ref="C122:F122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outlinePr summaryBelow="0"/>
    <pageSetUpPr autoPageBreaks="0"/>
  </sheetPr>
  <dimension ref="A1:X61"/>
  <sheetViews>
    <sheetView showGridLines="0" topLeftCell="A31" workbookViewId="0">
      <selection activeCell="S44" sqref="S44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1.7109375" bestFit="1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</row>
    <row r="2" spans="1:24" ht="12" customHeight="1" x14ac:dyDescent="0.2">
      <c r="A2" s="169" t="s">
        <v>584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</row>
    <row r="3" spans="1:24" ht="12" customHeight="1" x14ac:dyDescent="0.2">
      <c r="A3" s="170" t="s">
        <v>195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</row>
    <row r="4" spans="1:24" ht="12" customHeight="1" x14ac:dyDescent="0.2"/>
    <row r="5" spans="1:24" ht="12" customHeight="1" x14ac:dyDescent="0.2">
      <c r="A5" s="162" t="s">
        <v>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</row>
    <row r="6" spans="1:24" ht="12" customHeight="1" x14ac:dyDescent="0.2">
      <c r="B6" s="162" t="s">
        <v>3</v>
      </c>
      <c r="C6" s="162"/>
      <c r="D6" s="162"/>
      <c r="E6" s="162"/>
      <c r="F6" s="162"/>
      <c r="G6" s="162"/>
      <c r="H6" s="162"/>
      <c r="I6" s="162"/>
      <c r="J6" s="162"/>
      <c r="K6" s="162"/>
    </row>
    <row r="7" spans="1:24" ht="12" customHeight="1" x14ac:dyDescent="0.2">
      <c r="C7" s="161" t="s">
        <v>6</v>
      </c>
      <c r="D7" s="161"/>
      <c r="E7" s="161"/>
      <c r="F7" s="161"/>
      <c r="H7" s="161" t="s">
        <v>196</v>
      </c>
      <c r="I7" s="161"/>
      <c r="J7" s="161"/>
      <c r="K7" s="161"/>
      <c r="L7" s="161"/>
      <c r="M7" s="161"/>
      <c r="N7" s="161"/>
      <c r="O7" s="161"/>
      <c r="P7" s="161"/>
      <c r="Q7" s="161"/>
      <c r="S7" s="1">
        <v>479155.61</v>
      </c>
    </row>
    <row r="8" spans="1:24" ht="12" customHeight="1" x14ac:dyDescent="0.2">
      <c r="C8" s="161" t="s">
        <v>16</v>
      </c>
      <c r="D8" s="161"/>
      <c r="E8" s="161"/>
      <c r="F8" s="161"/>
      <c r="H8" s="161" t="s">
        <v>17</v>
      </c>
      <c r="I8" s="161"/>
      <c r="J8" s="161"/>
      <c r="K8" s="161"/>
      <c r="L8" s="161"/>
      <c r="M8" s="161"/>
      <c r="N8" s="161"/>
      <c r="O8" s="161"/>
      <c r="P8" s="161"/>
      <c r="Q8" s="161"/>
      <c r="S8" s="1">
        <v>263142.57</v>
      </c>
    </row>
    <row r="9" spans="1:24" ht="12" customHeight="1" x14ac:dyDescent="0.2">
      <c r="A9">
        <v>1235</v>
      </c>
      <c r="C9" s="161" t="s">
        <v>183</v>
      </c>
      <c r="D9" s="161"/>
      <c r="E9" s="161"/>
      <c r="F9" s="161"/>
      <c r="H9" s="161" t="s">
        <v>61</v>
      </c>
      <c r="I9" s="161"/>
      <c r="J9" s="161"/>
      <c r="K9" s="161"/>
      <c r="L9" s="161"/>
      <c r="M9" s="161"/>
      <c r="N9" s="161"/>
      <c r="O9" s="161"/>
      <c r="P9" s="161"/>
      <c r="Q9" s="161"/>
      <c r="S9" s="156">
        <v>750</v>
      </c>
    </row>
    <row r="10" spans="1:24" ht="12" customHeight="1" x14ac:dyDescent="0.2">
      <c r="C10" s="161" t="s">
        <v>183</v>
      </c>
      <c r="D10" s="161"/>
      <c r="E10" s="161"/>
      <c r="F10" s="161"/>
      <c r="H10" s="161" t="s">
        <v>184</v>
      </c>
      <c r="I10" s="161"/>
      <c r="J10" s="161"/>
      <c r="K10" s="161"/>
      <c r="L10" s="161"/>
      <c r="M10" s="161"/>
      <c r="N10" s="161"/>
      <c r="O10" s="161"/>
      <c r="P10" s="161"/>
      <c r="Q10" s="161"/>
      <c r="S10" s="156">
        <v>4000000</v>
      </c>
    </row>
    <row r="11" spans="1:24" ht="12" customHeight="1" x14ac:dyDescent="0.2">
      <c r="C11" s="161">
        <v>1239</v>
      </c>
      <c r="D11" s="161"/>
      <c r="E11" s="161"/>
      <c r="F11" s="161"/>
      <c r="H11" s="161" t="s">
        <v>45</v>
      </c>
      <c r="I11" s="161"/>
      <c r="J11" s="161"/>
      <c r="K11" s="161"/>
      <c r="L11" s="161"/>
      <c r="M11" s="161"/>
      <c r="N11" s="161"/>
      <c r="O11" s="161"/>
      <c r="P11" s="161"/>
      <c r="Q11" s="161"/>
      <c r="S11" s="153">
        <v>2950</v>
      </c>
    </row>
    <row r="12" spans="1:24" ht="12" customHeight="1" x14ac:dyDescent="0.2">
      <c r="C12" s="161" t="s">
        <v>46</v>
      </c>
      <c r="D12" s="161"/>
      <c r="E12" s="161"/>
      <c r="F12" s="161"/>
      <c r="H12" s="161" t="s">
        <v>197</v>
      </c>
      <c r="I12" s="161"/>
      <c r="J12" s="161"/>
      <c r="K12" s="161"/>
      <c r="L12" s="161"/>
      <c r="M12" s="161"/>
      <c r="N12" s="161"/>
      <c r="O12" s="161"/>
      <c r="P12" s="161"/>
      <c r="Q12" s="161"/>
      <c r="S12" s="1">
        <v>1102</v>
      </c>
    </row>
    <row r="13" spans="1:24" ht="12" customHeight="1" x14ac:dyDescent="0.2">
      <c r="C13" s="161" t="s">
        <v>48</v>
      </c>
      <c r="D13" s="161"/>
      <c r="E13" s="161"/>
      <c r="F13" s="161"/>
      <c r="H13" s="46" t="s">
        <v>49</v>
      </c>
      <c r="I13" s="24"/>
      <c r="J13" s="24"/>
      <c r="K13" s="24"/>
      <c r="L13" s="24"/>
      <c r="M13" s="24"/>
      <c r="N13" s="24"/>
      <c r="O13" s="24"/>
      <c r="P13" s="24"/>
      <c r="Q13" s="24"/>
      <c r="S13" s="1">
        <v>0</v>
      </c>
    </row>
    <row r="14" spans="1:24" ht="12" customHeight="1" x14ac:dyDescent="0.2">
      <c r="C14" s="161" t="s">
        <v>198</v>
      </c>
      <c r="D14" s="161"/>
      <c r="E14" s="161"/>
      <c r="F14" s="161"/>
      <c r="H14" s="161" t="s">
        <v>199</v>
      </c>
      <c r="I14" s="161"/>
      <c r="J14" s="161"/>
      <c r="K14" s="161"/>
      <c r="L14" s="161"/>
      <c r="M14" s="161"/>
      <c r="N14" s="161"/>
      <c r="O14" s="161"/>
      <c r="P14" s="161"/>
      <c r="Q14" s="161"/>
      <c r="S14" s="1">
        <v>42807.01</v>
      </c>
    </row>
    <row r="15" spans="1:24" ht="12" customHeight="1" x14ac:dyDescent="0.2">
      <c r="C15" s="161">
        <v>1251</v>
      </c>
      <c r="D15" s="161"/>
      <c r="E15" s="161"/>
      <c r="F15" s="161"/>
      <c r="H15" s="24" t="s">
        <v>201</v>
      </c>
      <c r="I15" s="24"/>
      <c r="J15" s="24"/>
      <c r="K15" s="24"/>
      <c r="L15" s="24"/>
      <c r="M15" s="24"/>
      <c r="N15" s="24"/>
      <c r="O15" s="24"/>
      <c r="P15" s="24"/>
      <c r="Q15" s="24"/>
      <c r="S15" s="1">
        <v>41089.760000000002</v>
      </c>
    </row>
    <row r="16" spans="1:24" ht="12" customHeight="1" x14ac:dyDescent="0.2">
      <c r="C16" s="161">
        <v>1252</v>
      </c>
      <c r="D16" s="161"/>
      <c r="E16" s="161"/>
      <c r="F16" s="161"/>
      <c r="H16" s="24" t="s">
        <v>538</v>
      </c>
      <c r="I16" s="24"/>
      <c r="J16" s="24"/>
      <c r="K16" s="24"/>
      <c r="L16" s="24"/>
      <c r="M16" s="24"/>
      <c r="N16" s="24"/>
      <c r="O16" s="24"/>
      <c r="P16" s="24"/>
      <c r="Q16" s="24"/>
      <c r="S16" s="1">
        <v>5333.32</v>
      </c>
    </row>
    <row r="17" spans="1:23" ht="12" customHeight="1" x14ac:dyDescent="0.2">
      <c r="C17" s="161">
        <v>1253</v>
      </c>
      <c r="D17" s="161"/>
      <c r="E17" s="161"/>
      <c r="F17" s="161"/>
      <c r="H17" s="24" t="s">
        <v>539</v>
      </c>
      <c r="I17" s="24"/>
      <c r="J17" s="24"/>
      <c r="K17" s="24"/>
      <c r="L17" s="24"/>
      <c r="M17" s="24"/>
      <c r="N17" s="24"/>
      <c r="O17" s="24"/>
      <c r="P17" s="24"/>
      <c r="Q17" s="24"/>
      <c r="S17" s="44">
        <v>62824.67</v>
      </c>
    </row>
    <row r="18" spans="1:23" ht="12" customHeight="1" x14ac:dyDescent="0.2">
      <c r="H18" s="162" t="s">
        <v>73</v>
      </c>
      <c r="I18" s="162"/>
      <c r="J18" s="162"/>
      <c r="K18" s="162"/>
      <c r="L18" s="162"/>
      <c r="M18" s="162"/>
      <c r="N18" s="162"/>
      <c r="O18" s="162"/>
      <c r="P18" s="162"/>
      <c r="U18" s="163">
        <f>SUM(S7:S17)</f>
        <v>4899154.9399999995</v>
      </c>
      <c r="V18" s="163"/>
      <c r="W18" s="163"/>
    </row>
    <row r="19" spans="1:23" ht="12" customHeight="1" x14ac:dyDescent="0.2"/>
    <row r="20" spans="1:23" ht="12" customHeight="1" x14ac:dyDescent="0.2">
      <c r="B20" s="162" t="s">
        <v>74</v>
      </c>
      <c r="C20" s="162"/>
      <c r="D20" s="162"/>
      <c r="E20" s="162"/>
      <c r="F20" s="162"/>
      <c r="G20" s="162"/>
      <c r="H20" s="162"/>
      <c r="I20" s="162"/>
      <c r="J20" s="162"/>
      <c r="K20" s="162"/>
    </row>
    <row r="21" spans="1:23" ht="12" customHeight="1" x14ac:dyDescent="0.2">
      <c r="C21" s="161" t="s">
        <v>75</v>
      </c>
      <c r="D21" s="161"/>
      <c r="E21" s="161"/>
      <c r="F21" s="161"/>
      <c r="H21" s="161" t="s">
        <v>187</v>
      </c>
      <c r="I21" s="161"/>
      <c r="J21" s="161"/>
      <c r="K21" s="161"/>
      <c r="L21" s="161"/>
      <c r="M21" s="161"/>
      <c r="N21" s="161"/>
      <c r="O21" s="161"/>
      <c r="P21" s="161"/>
      <c r="Q21" s="161"/>
      <c r="S21" s="1">
        <v>138413.75</v>
      </c>
    </row>
    <row r="22" spans="1:23" ht="12" customHeight="1" x14ac:dyDescent="0.2">
      <c r="C22" s="161" t="s">
        <v>81</v>
      </c>
      <c r="D22" s="161"/>
      <c r="E22" s="161"/>
      <c r="F22" s="161"/>
      <c r="H22" s="161" t="s">
        <v>202</v>
      </c>
      <c r="I22" s="161"/>
      <c r="J22" s="161"/>
      <c r="K22" s="161"/>
      <c r="L22" s="161"/>
      <c r="M22" s="161"/>
      <c r="N22" s="161"/>
      <c r="O22" s="161"/>
      <c r="P22" s="161"/>
      <c r="Q22" s="161"/>
      <c r="S22" s="1">
        <v>196205.25</v>
      </c>
    </row>
    <row r="23" spans="1:23" ht="12" customHeight="1" x14ac:dyDescent="0.2">
      <c r="C23" s="161" t="s">
        <v>87</v>
      </c>
      <c r="D23" s="161"/>
      <c r="E23" s="161"/>
      <c r="F23" s="161"/>
      <c r="H23" s="161" t="s">
        <v>88</v>
      </c>
      <c r="I23" s="161"/>
      <c r="J23" s="161"/>
      <c r="K23" s="161"/>
      <c r="L23" s="161"/>
      <c r="M23" s="161"/>
      <c r="N23" s="161"/>
      <c r="O23" s="161"/>
      <c r="P23" s="161"/>
      <c r="Q23" s="161"/>
      <c r="S23" s="1">
        <v>716032.14</v>
      </c>
    </row>
    <row r="24" spans="1:23" ht="12" customHeight="1" x14ac:dyDescent="0.2">
      <c r="C24" s="161">
        <v>1335</v>
      </c>
      <c r="D24" s="161"/>
      <c r="E24" s="161"/>
      <c r="F24" s="161"/>
      <c r="H24" s="46" t="s">
        <v>94</v>
      </c>
      <c r="I24" s="24"/>
      <c r="J24" s="24"/>
      <c r="K24" s="24"/>
      <c r="L24" s="24"/>
      <c r="M24" s="24"/>
      <c r="N24" s="24"/>
      <c r="O24" s="24"/>
      <c r="P24" s="24"/>
      <c r="Q24" s="24"/>
      <c r="S24" s="1">
        <v>0</v>
      </c>
    </row>
    <row r="25" spans="1:23" ht="12" customHeight="1" x14ac:dyDescent="0.2">
      <c r="C25" s="161" t="s">
        <v>99</v>
      </c>
      <c r="D25" s="161"/>
      <c r="E25" s="161"/>
      <c r="F25" s="161"/>
      <c r="H25" s="161" t="s">
        <v>188</v>
      </c>
      <c r="I25" s="161"/>
      <c r="J25" s="161"/>
      <c r="K25" s="161"/>
      <c r="L25" s="161"/>
      <c r="M25" s="161"/>
      <c r="N25" s="161"/>
      <c r="O25" s="161"/>
      <c r="P25" s="161"/>
      <c r="Q25" s="161"/>
      <c r="S25" s="2">
        <v>-582828.01</v>
      </c>
    </row>
    <row r="26" spans="1:23" ht="12" customHeight="1" x14ac:dyDescent="0.2">
      <c r="H26" s="162" t="s">
        <v>103</v>
      </c>
      <c r="I26" s="162"/>
      <c r="J26" s="162"/>
      <c r="K26" s="162"/>
      <c r="L26" s="162"/>
      <c r="M26" s="162"/>
      <c r="N26" s="162"/>
      <c r="O26" s="162"/>
      <c r="P26" s="162"/>
      <c r="U26" s="167">
        <f>SUM(S21:S25)</f>
        <v>467823.13000000012</v>
      </c>
      <c r="V26" s="167"/>
      <c r="W26" s="167"/>
    </row>
    <row r="27" spans="1:23" ht="12" customHeight="1" thickBot="1" x14ac:dyDescent="0.25">
      <c r="I27" s="162" t="s">
        <v>104</v>
      </c>
      <c r="J27" s="162"/>
      <c r="K27" s="162"/>
      <c r="L27" s="162"/>
      <c r="M27" s="162"/>
      <c r="N27" s="162"/>
      <c r="O27" s="162"/>
      <c r="P27" s="162"/>
      <c r="U27" s="168">
        <f>U18+U26</f>
        <v>5366978.0699999994</v>
      </c>
      <c r="V27" s="168"/>
      <c r="W27" s="168"/>
    </row>
    <row r="28" spans="1:23" ht="12" customHeight="1" thickTop="1" x14ac:dyDescent="0.2"/>
    <row r="29" spans="1:23" ht="12" customHeight="1" x14ac:dyDescent="0.2">
      <c r="A29" s="162" t="s">
        <v>105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</row>
    <row r="30" spans="1:23" ht="12" customHeight="1" x14ac:dyDescent="0.2">
      <c r="B30" s="162" t="s">
        <v>106</v>
      </c>
      <c r="C30" s="162"/>
      <c r="D30" s="162"/>
      <c r="E30" s="162"/>
      <c r="F30" s="162"/>
      <c r="G30" s="162"/>
      <c r="H30" s="162"/>
      <c r="I30" s="162"/>
      <c r="J30" s="162"/>
      <c r="K30" s="162"/>
    </row>
    <row r="31" spans="1:23" ht="12" customHeight="1" x14ac:dyDescent="0.2">
      <c r="C31" s="161" t="s">
        <v>109</v>
      </c>
      <c r="D31" s="161"/>
      <c r="E31" s="161"/>
      <c r="F31" s="161"/>
      <c r="H31" s="161" t="s">
        <v>110</v>
      </c>
      <c r="I31" s="161"/>
      <c r="J31" s="161"/>
      <c r="K31" s="161"/>
      <c r="L31" s="161"/>
      <c r="M31" s="161"/>
      <c r="N31" s="161"/>
      <c r="O31" s="161"/>
      <c r="P31" s="161"/>
      <c r="Q31" s="161"/>
      <c r="S31" s="1">
        <v>84.43</v>
      </c>
    </row>
    <row r="32" spans="1:23" ht="12" customHeight="1" x14ac:dyDescent="0.2">
      <c r="C32" s="161">
        <v>2124</v>
      </c>
      <c r="D32" s="161"/>
      <c r="E32" s="161"/>
      <c r="F32" s="161"/>
      <c r="H32" s="46" t="s">
        <v>401</v>
      </c>
      <c r="I32" s="24"/>
      <c r="J32" s="24"/>
      <c r="K32" s="24"/>
      <c r="L32" s="24"/>
      <c r="M32" s="24"/>
      <c r="N32" s="24"/>
      <c r="O32" s="24"/>
      <c r="P32" s="24"/>
      <c r="Q32" s="24"/>
      <c r="S32" s="1">
        <f>5.85+0.05</f>
        <v>5.8999999999999995</v>
      </c>
    </row>
    <row r="33" spans="1:23" ht="12" customHeight="1" x14ac:dyDescent="0.2">
      <c r="C33" s="161" t="s">
        <v>117</v>
      </c>
      <c r="D33" s="161"/>
      <c r="E33" s="161"/>
      <c r="F33" s="161"/>
      <c r="H33" s="161" t="s">
        <v>118</v>
      </c>
      <c r="I33" s="161"/>
      <c r="J33" s="161"/>
      <c r="K33" s="161"/>
      <c r="L33" s="161"/>
      <c r="M33" s="161"/>
      <c r="N33" s="161"/>
      <c r="O33" s="161"/>
      <c r="P33" s="161"/>
      <c r="Q33" s="161"/>
      <c r="S33" s="1">
        <v>166426.34</v>
      </c>
    </row>
    <row r="34" spans="1:23" ht="12" customHeight="1" x14ac:dyDescent="0.2">
      <c r="C34" s="161" t="s">
        <v>119</v>
      </c>
      <c r="D34" s="161"/>
      <c r="E34" s="161"/>
      <c r="F34" s="161"/>
      <c r="H34" s="161" t="s">
        <v>191</v>
      </c>
      <c r="I34" s="161"/>
      <c r="J34" s="161"/>
      <c r="K34" s="161"/>
      <c r="L34" s="161"/>
      <c r="M34" s="161"/>
      <c r="N34" s="161"/>
      <c r="O34" s="161"/>
      <c r="P34" s="161"/>
      <c r="Q34" s="161"/>
      <c r="S34" s="1">
        <v>33666.29</v>
      </c>
    </row>
    <row r="35" spans="1:23" ht="12" customHeight="1" x14ac:dyDescent="0.2">
      <c r="C35" s="161" t="s">
        <v>125</v>
      </c>
      <c r="D35" s="161"/>
      <c r="E35" s="161"/>
      <c r="F35" s="161"/>
      <c r="H35" s="161" t="s">
        <v>203</v>
      </c>
      <c r="I35" s="161"/>
      <c r="J35" s="161"/>
      <c r="K35" s="161"/>
      <c r="L35" s="161"/>
      <c r="M35" s="161"/>
      <c r="N35" s="161"/>
      <c r="O35" s="161"/>
      <c r="P35" s="161"/>
      <c r="Q35" s="161"/>
      <c r="S35" s="1">
        <v>3000</v>
      </c>
    </row>
    <row r="36" spans="1:23" ht="12" customHeight="1" x14ac:dyDescent="0.2">
      <c r="C36" s="161" t="s">
        <v>127</v>
      </c>
      <c r="D36" s="161"/>
      <c r="E36" s="161"/>
      <c r="F36" s="161"/>
      <c r="H36" s="161" t="s">
        <v>204</v>
      </c>
      <c r="I36" s="161"/>
      <c r="J36" s="161"/>
      <c r="K36" s="161"/>
      <c r="L36" s="161"/>
      <c r="M36" s="161"/>
      <c r="N36" s="161"/>
      <c r="O36" s="161"/>
      <c r="P36" s="161"/>
      <c r="Q36" s="161"/>
      <c r="S36" s="1">
        <v>3576.85</v>
      </c>
    </row>
    <row r="37" spans="1:23" ht="12" customHeight="1" x14ac:dyDescent="0.2">
      <c r="C37" s="161" t="s">
        <v>129</v>
      </c>
      <c r="D37" s="161"/>
      <c r="E37" s="161"/>
      <c r="F37" s="161"/>
      <c r="H37" s="161" t="s">
        <v>192</v>
      </c>
      <c r="I37" s="161"/>
      <c r="J37" s="161"/>
      <c r="K37" s="161"/>
      <c r="L37" s="161"/>
      <c r="M37" s="161"/>
      <c r="N37" s="161"/>
      <c r="O37" s="161"/>
      <c r="P37" s="161"/>
      <c r="Q37" s="161"/>
      <c r="S37" s="1">
        <v>8607.0400000000009</v>
      </c>
    </row>
    <row r="38" spans="1:23" ht="12" customHeight="1" x14ac:dyDescent="0.2">
      <c r="C38" s="161" t="s">
        <v>205</v>
      </c>
      <c r="D38" s="161"/>
      <c r="E38" s="161"/>
      <c r="F38" s="161"/>
      <c r="H38" s="161" t="s">
        <v>206</v>
      </c>
      <c r="I38" s="161"/>
      <c r="J38" s="161"/>
      <c r="K38" s="161"/>
      <c r="L38" s="161"/>
      <c r="M38" s="161"/>
      <c r="N38" s="161"/>
      <c r="O38" s="161"/>
      <c r="P38" s="161"/>
      <c r="Q38" s="161"/>
      <c r="S38" s="155">
        <v>101046.16</v>
      </c>
    </row>
    <row r="39" spans="1:23" ht="12" customHeight="1" x14ac:dyDescent="0.2">
      <c r="H39" s="162" t="s">
        <v>149</v>
      </c>
      <c r="I39" s="162"/>
      <c r="J39" s="162"/>
      <c r="K39" s="162"/>
      <c r="L39" s="162"/>
      <c r="M39" s="162"/>
      <c r="N39" s="162"/>
      <c r="O39" s="162"/>
      <c r="P39" s="162"/>
      <c r="U39" s="171">
        <f>SUM(S31:S38)</f>
        <v>316413.01</v>
      </c>
      <c r="V39" s="171"/>
      <c r="W39" s="171"/>
    </row>
    <row r="40" spans="1:23" ht="12" customHeight="1" x14ac:dyDescent="0.2">
      <c r="I40" s="162" t="s">
        <v>160</v>
      </c>
      <c r="J40" s="162"/>
      <c r="K40" s="162"/>
      <c r="L40" s="162"/>
      <c r="M40" s="162"/>
      <c r="N40" s="162"/>
      <c r="O40" s="162"/>
      <c r="P40" s="162"/>
      <c r="U40" s="163">
        <f>U39</f>
        <v>316413.01</v>
      </c>
      <c r="V40" s="163"/>
      <c r="W40" s="163"/>
    </row>
    <row r="41" spans="1:23" ht="12" customHeight="1" x14ac:dyDescent="0.2"/>
    <row r="42" spans="1:23" ht="12" customHeight="1" x14ac:dyDescent="0.2">
      <c r="A42" s="162" t="s">
        <v>105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</row>
    <row r="43" spans="1:23" ht="12" customHeight="1" x14ac:dyDescent="0.2">
      <c r="B43" s="162" t="s">
        <v>150</v>
      </c>
      <c r="C43" s="162"/>
      <c r="D43" s="162"/>
      <c r="E43" s="162"/>
      <c r="F43" s="162"/>
      <c r="G43" s="162"/>
      <c r="H43" s="162"/>
      <c r="I43" s="162"/>
      <c r="J43" s="162"/>
      <c r="K43" s="162"/>
    </row>
    <row r="44" spans="1:23" ht="12" customHeight="1" x14ac:dyDescent="0.2">
      <c r="C44" s="161">
        <v>2402</v>
      </c>
      <c r="D44" s="161"/>
      <c r="E44" s="161"/>
      <c r="F44" s="161"/>
      <c r="H44" s="161" t="s">
        <v>562</v>
      </c>
      <c r="I44" s="161"/>
      <c r="J44" s="161"/>
      <c r="K44" s="161"/>
      <c r="L44" s="161"/>
      <c r="M44" s="161"/>
      <c r="N44" s="161"/>
      <c r="O44" s="161"/>
      <c r="P44" s="161"/>
      <c r="Q44" s="161"/>
      <c r="S44" s="156">
        <v>25000</v>
      </c>
    </row>
    <row r="45" spans="1:23" ht="12" customHeight="1" x14ac:dyDescent="0.2">
      <c r="H45" s="162" t="s">
        <v>149</v>
      </c>
      <c r="I45" s="162"/>
      <c r="J45" s="162"/>
      <c r="K45" s="162"/>
      <c r="L45" s="162"/>
      <c r="M45" s="162"/>
      <c r="N45" s="162"/>
      <c r="O45" s="162"/>
      <c r="P45" s="162"/>
      <c r="U45" s="171">
        <f>SUM(S44:S44)</f>
        <v>25000</v>
      </c>
      <c r="V45" s="171"/>
      <c r="W45" s="171"/>
    </row>
    <row r="46" spans="1:23" ht="12" customHeight="1" x14ac:dyDescent="0.2">
      <c r="I46" s="162" t="s">
        <v>160</v>
      </c>
      <c r="J46" s="162"/>
      <c r="K46" s="162"/>
      <c r="L46" s="162"/>
      <c r="M46" s="162"/>
      <c r="N46" s="162"/>
      <c r="O46" s="162"/>
      <c r="P46" s="162"/>
      <c r="U46" s="163">
        <f>U45</f>
        <v>25000</v>
      </c>
      <c r="V46" s="163"/>
      <c r="W46" s="163"/>
    </row>
    <row r="47" spans="1:23" ht="12" customHeight="1" x14ac:dyDescent="0.2">
      <c r="A47" s="162" t="s">
        <v>161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</row>
    <row r="48" spans="1:23" ht="12" customHeight="1" x14ac:dyDescent="0.2">
      <c r="C48" s="161" t="s">
        <v>162</v>
      </c>
      <c r="D48" s="161"/>
      <c r="E48" s="161"/>
      <c r="F48" s="161"/>
      <c r="H48" s="161" t="s">
        <v>163</v>
      </c>
      <c r="I48" s="161"/>
      <c r="J48" s="161"/>
      <c r="K48" s="161"/>
      <c r="L48" s="161"/>
      <c r="M48" s="161"/>
      <c r="N48" s="161"/>
      <c r="O48" s="161"/>
      <c r="P48" s="161"/>
      <c r="Q48" s="161"/>
      <c r="S48" s="1">
        <v>1000</v>
      </c>
    </row>
    <row r="49" spans="3:23" ht="12" customHeight="1" x14ac:dyDescent="0.2">
      <c r="C49" s="161" t="s">
        <v>166</v>
      </c>
      <c r="D49" s="161"/>
      <c r="E49" s="161"/>
      <c r="F49" s="161"/>
      <c r="H49" s="161" t="s">
        <v>167</v>
      </c>
      <c r="I49" s="161"/>
      <c r="J49" s="161"/>
      <c r="K49" s="161"/>
      <c r="L49" s="161"/>
      <c r="M49" s="161"/>
      <c r="N49" s="161"/>
      <c r="O49" s="161"/>
      <c r="P49" s="161"/>
      <c r="Q49" s="161"/>
      <c r="S49" s="1">
        <v>857537.37</v>
      </c>
    </row>
    <row r="50" spans="3:23" ht="12" customHeight="1" x14ac:dyDescent="0.2">
      <c r="C50" s="161" t="s">
        <v>166</v>
      </c>
      <c r="D50" s="161"/>
      <c r="E50" s="161"/>
      <c r="F50" s="161"/>
      <c r="H50" s="161" t="s">
        <v>194</v>
      </c>
      <c r="I50" s="161"/>
      <c r="J50" s="161"/>
      <c r="K50" s="161"/>
      <c r="L50" s="161"/>
      <c r="M50" s="161"/>
      <c r="N50" s="161"/>
      <c r="O50" s="161"/>
      <c r="P50" s="161"/>
      <c r="Q50" s="161"/>
      <c r="S50" s="1">
        <v>985578.95</v>
      </c>
    </row>
    <row r="51" spans="3:23" ht="12" customHeight="1" x14ac:dyDescent="0.2">
      <c r="C51" s="161" t="s">
        <v>207</v>
      </c>
      <c r="D51" s="161"/>
      <c r="E51" s="161"/>
      <c r="F51" s="161"/>
      <c r="H51" s="161" t="s">
        <v>208</v>
      </c>
      <c r="I51" s="161"/>
      <c r="J51" s="161"/>
      <c r="K51" s="161"/>
      <c r="L51" s="161"/>
      <c r="M51" s="161"/>
      <c r="N51" s="161"/>
      <c r="O51" s="161"/>
      <c r="P51" s="161"/>
      <c r="Q51" s="161"/>
      <c r="S51" s="1">
        <v>15907.27</v>
      </c>
    </row>
    <row r="52" spans="3:23" ht="12" customHeight="1" x14ac:dyDescent="0.2">
      <c r="C52" s="161" t="s">
        <v>209</v>
      </c>
      <c r="D52" s="161"/>
      <c r="E52" s="161"/>
      <c r="F52" s="161"/>
      <c r="H52" s="161" t="s">
        <v>210</v>
      </c>
      <c r="I52" s="161"/>
      <c r="J52" s="161"/>
      <c r="K52" s="161"/>
      <c r="L52" s="161"/>
      <c r="M52" s="161"/>
      <c r="N52" s="161"/>
      <c r="O52" s="161"/>
      <c r="P52" s="161"/>
      <c r="Q52" s="161"/>
      <c r="S52" s="1">
        <v>1049878.07</v>
      </c>
    </row>
    <row r="53" spans="3:23" ht="12" customHeight="1" x14ac:dyDescent="0.2">
      <c r="C53" s="161" t="s">
        <v>211</v>
      </c>
      <c r="D53" s="161"/>
      <c r="E53" s="161"/>
      <c r="F53" s="161"/>
      <c r="H53" s="161" t="s">
        <v>212</v>
      </c>
      <c r="I53" s="161"/>
      <c r="J53" s="161"/>
      <c r="K53" s="161"/>
      <c r="L53" s="161"/>
      <c r="M53" s="161"/>
      <c r="N53" s="161"/>
      <c r="O53" s="161"/>
      <c r="P53" s="161"/>
      <c r="Q53" s="161"/>
      <c r="S53" s="1">
        <v>1049878.07</v>
      </c>
    </row>
    <row r="54" spans="3:23" ht="12" customHeight="1" x14ac:dyDescent="0.2">
      <c r="C54" s="161" t="s">
        <v>213</v>
      </c>
      <c r="D54" s="161"/>
      <c r="E54" s="161"/>
      <c r="F54" s="161"/>
      <c r="H54" s="161" t="s">
        <v>214</v>
      </c>
      <c r="I54" s="161"/>
      <c r="J54" s="161"/>
      <c r="K54" s="161"/>
      <c r="L54" s="161"/>
      <c r="M54" s="161"/>
      <c r="N54" s="161"/>
      <c r="O54" s="161"/>
      <c r="P54" s="161"/>
      <c r="Q54" s="161"/>
      <c r="S54" s="1">
        <v>1049878.07</v>
      </c>
    </row>
    <row r="55" spans="3:23" ht="12" customHeight="1" x14ac:dyDescent="0.2">
      <c r="C55" s="161" t="s">
        <v>215</v>
      </c>
      <c r="D55" s="161"/>
      <c r="E55" s="161"/>
      <c r="F55" s="161"/>
      <c r="H55" s="161" t="s">
        <v>216</v>
      </c>
      <c r="I55" s="161"/>
      <c r="J55" s="161"/>
      <c r="K55" s="161"/>
      <c r="L55" s="161"/>
      <c r="M55" s="161"/>
      <c r="N55" s="161"/>
      <c r="O55" s="161"/>
      <c r="P55" s="161"/>
      <c r="Q55" s="161"/>
      <c r="S55" s="44">
        <v>15907.26</v>
      </c>
    </row>
    <row r="56" spans="3:23" ht="12" customHeight="1" x14ac:dyDescent="0.2">
      <c r="I56" s="162" t="s">
        <v>177</v>
      </c>
      <c r="J56" s="162"/>
      <c r="K56" s="162"/>
      <c r="L56" s="162"/>
      <c r="M56" s="162"/>
      <c r="N56" s="162"/>
      <c r="O56" s="162"/>
      <c r="P56" s="162"/>
      <c r="U56" s="171">
        <f>SUM(S48:S55)</f>
        <v>5025565.0600000005</v>
      </c>
      <c r="V56" s="171"/>
      <c r="W56" s="171"/>
    </row>
    <row r="57" spans="3:23" ht="12" customHeight="1" x14ac:dyDescent="0.2">
      <c r="I57" s="162" t="s">
        <v>178</v>
      </c>
      <c r="J57" s="162"/>
      <c r="K57" s="162"/>
      <c r="L57" s="162"/>
      <c r="M57" s="162"/>
      <c r="N57" s="162"/>
      <c r="O57" s="162"/>
      <c r="P57" s="162"/>
    </row>
    <row r="58" spans="3:23" ht="12" customHeight="1" thickBot="1" x14ac:dyDescent="0.25">
      <c r="I58" s="162"/>
      <c r="J58" s="162"/>
      <c r="K58" s="162"/>
      <c r="L58" s="162"/>
      <c r="M58" s="162"/>
      <c r="N58" s="162"/>
      <c r="O58" s="162"/>
      <c r="P58" s="162"/>
      <c r="U58" s="168">
        <f>U40+U46+U56</f>
        <v>5366978.07</v>
      </c>
      <c r="V58" s="168"/>
      <c r="W58" s="168"/>
    </row>
    <row r="59" spans="3:23" ht="6" customHeight="1" thickTop="1" x14ac:dyDescent="0.2"/>
    <row r="60" spans="3:23" ht="12.75" customHeight="1" thickBot="1" x14ac:dyDescent="0.25">
      <c r="U60" s="168">
        <f>U58-U27</f>
        <v>0</v>
      </c>
      <c r="V60" s="168"/>
    </row>
    <row r="61" spans="3:23" ht="12.75" customHeight="1" thickTop="1" x14ac:dyDescent="0.2"/>
  </sheetData>
  <mergeCells count="90">
    <mergeCell ref="U45:W45"/>
    <mergeCell ref="I46:P46"/>
    <mergeCell ref="U46:W46"/>
    <mergeCell ref="A1:X1"/>
    <mergeCell ref="A2:X2"/>
    <mergeCell ref="A3:X3"/>
    <mergeCell ref="A5:M5"/>
    <mergeCell ref="B6:K6"/>
    <mergeCell ref="C7:F7"/>
    <mergeCell ref="H7:Q7"/>
    <mergeCell ref="C8:F8"/>
    <mergeCell ref="H8:Q8"/>
    <mergeCell ref="C10:F10"/>
    <mergeCell ref="H10:Q10"/>
    <mergeCell ref="C12:F12"/>
    <mergeCell ref="H12:Q12"/>
    <mergeCell ref="C14:F14"/>
    <mergeCell ref="H14:Q14"/>
    <mergeCell ref="H18:P18"/>
    <mergeCell ref="U18:W18"/>
    <mergeCell ref="C15:F15"/>
    <mergeCell ref="C16:F16"/>
    <mergeCell ref="C17:F17"/>
    <mergeCell ref="B20:K20"/>
    <mergeCell ref="C21:F21"/>
    <mergeCell ref="H21:Q21"/>
    <mergeCell ref="C22:F22"/>
    <mergeCell ref="H22:Q22"/>
    <mergeCell ref="C23:F23"/>
    <mergeCell ref="H23:Q23"/>
    <mergeCell ref="C25:F25"/>
    <mergeCell ref="H25:Q25"/>
    <mergeCell ref="H26:P26"/>
    <mergeCell ref="U26:W26"/>
    <mergeCell ref="I27:P27"/>
    <mergeCell ref="U27:W27"/>
    <mergeCell ref="A29:M29"/>
    <mergeCell ref="B30:K30"/>
    <mergeCell ref="C31:F31"/>
    <mergeCell ref="H31:Q31"/>
    <mergeCell ref="C33:F33"/>
    <mergeCell ref="H33:Q33"/>
    <mergeCell ref="C34:F34"/>
    <mergeCell ref="H34:Q34"/>
    <mergeCell ref="C35:F35"/>
    <mergeCell ref="H35:Q35"/>
    <mergeCell ref="C36:F36"/>
    <mergeCell ref="H36:Q36"/>
    <mergeCell ref="C37:F37"/>
    <mergeCell ref="H37:Q37"/>
    <mergeCell ref="C38:F38"/>
    <mergeCell ref="H38:Q38"/>
    <mergeCell ref="H39:P39"/>
    <mergeCell ref="U39:W39"/>
    <mergeCell ref="I40:P40"/>
    <mergeCell ref="U40:W40"/>
    <mergeCell ref="A47:M47"/>
    <mergeCell ref="C48:F48"/>
    <mergeCell ref="H48:Q48"/>
    <mergeCell ref="A42:M42"/>
    <mergeCell ref="B43:K43"/>
    <mergeCell ref="C44:F44"/>
    <mergeCell ref="H44:Q44"/>
    <mergeCell ref="H45:P45"/>
    <mergeCell ref="C54:F54"/>
    <mergeCell ref="H54:Q54"/>
    <mergeCell ref="C55:F55"/>
    <mergeCell ref="H55:Q55"/>
    <mergeCell ref="C50:F50"/>
    <mergeCell ref="H50:Q50"/>
    <mergeCell ref="C51:F51"/>
    <mergeCell ref="H51:Q51"/>
    <mergeCell ref="C52:F52"/>
    <mergeCell ref="H52:Q52"/>
    <mergeCell ref="C11:F11"/>
    <mergeCell ref="H11:Q11"/>
    <mergeCell ref="C9:F9"/>
    <mergeCell ref="H9:Q9"/>
    <mergeCell ref="U60:V60"/>
    <mergeCell ref="C13:F13"/>
    <mergeCell ref="C24:F24"/>
    <mergeCell ref="C32:F32"/>
    <mergeCell ref="I56:P56"/>
    <mergeCell ref="U56:W56"/>
    <mergeCell ref="I57:P58"/>
    <mergeCell ref="U58:W58"/>
    <mergeCell ref="C53:F53"/>
    <mergeCell ref="H53:Q53"/>
    <mergeCell ref="C49:F49"/>
    <mergeCell ref="H49:Q49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outlinePr summaryBelow="0"/>
    <pageSetUpPr autoPageBreaks="0"/>
  </sheetPr>
  <dimension ref="A1:X63"/>
  <sheetViews>
    <sheetView showGridLines="0" topLeftCell="A6" workbookViewId="0">
      <selection activeCell="S66" sqref="S66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style="37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9.9499999999999993" customHeight="1" x14ac:dyDescent="0.2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</row>
    <row r="2" spans="1:24" ht="9.9499999999999993" customHeight="1" x14ac:dyDescent="0.2"/>
    <row r="3" spans="1:24" ht="12.75" customHeight="1" x14ac:dyDescent="0.2">
      <c r="A3" s="169" t="s">
        <v>584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</row>
    <row r="4" spans="1:24" ht="16.5" customHeight="1" x14ac:dyDescent="0.2">
      <c r="A4" s="170" t="s">
        <v>179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62" t="s">
        <v>2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</row>
    <row r="8" spans="1:24" ht="9.9499999999999993" customHeight="1" x14ac:dyDescent="0.2"/>
    <row r="9" spans="1:24" ht="9.9499999999999993" customHeight="1" x14ac:dyDescent="0.2">
      <c r="B9" s="162" t="s">
        <v>3</v>
      </c>
      <c r="C9" s="162"/>
      <c r="D9" s="162"/>
      <c r="E9" s="162"/>
      <c r="F9" s="162"/>
      <c r="G9" s="162"/>
      <c r="H9" s="162"/>
      <c r="I9" s="162"/>
      <c r="J9" s="162"/>
      <c r="K9" s="162"/>
      <c r="S9" s="38">
        <v>0</v>
      </c>
    </row>
    <row r="10" spans="1:24" ht="9.9499999999999993" customHeight="1" x14ac:dyDescent="0.2">
      <c r="S10" s="37">
        <v>0</v>
      </c>
    </row>
    <row r="11" spans="1:24" ht="9.9499999999999993" customHeight="1" x14ac:dyDescent="0.2">
      <c r="C11" s="161" t="s">
        <v>8</v>
      </c>
      <c r="D11" s="161"/>
      <c r="E11" s="161"/>
      <c r="F11" s="161"/>
      <c r="H11" s="161" t="s">
        <v>180</v>
      </c>
      <c r="I11" s="161"/>
      <c r="J11" s="161"/>
      <c r="K11" s="161"/>
      <c r="L11" s="161"/>
      <c r="M11" s="161"/>
      <c r="N11" s="161"/>
      <c r="O11" s="161"/>
      <c r="P11" s="161"/>
      <c r="Q11" s="161"/>
      <c r="S11" s="39">
        <v>1571547.17</v>
      </c>
    </row>
    <row r="12" spans="1:24" ht="9.9499999999999993" customHeight="1" x14ac:dyDescent="0.2">
      <c r="C12" s="161" t="s">
        <v>16</v>
      </c>
      <c r="D12" s="161"/>
      <c r="E12" s="161"/>
      <c r="F12" s="161"/>
      <c r="H12" s="161" t="s">
        <v>17</v>
      </c>
      <c r="I12" s="161"/>
      <c r="J12" s="161"/>
      <c r="K12" s="161"/>
      <c r="L12" s="161"/>
      <c r="M12" s="161"/>
      <c r="N12" s="161"/>
      <c r="O12" s="161"/>
      <c r="P12" s="161"/>
      <c r="Q12" s="161"/>
      <c r="S12" s="39">
        <v>701939.53</v>
      </c>
    </row>
    <row r="13" spans="1:24" ht="9.9499999999999993" customHeight="1" x14ac:dyDescent="0.2">
      <c r="C13" s="161" t="s">
        <v>181</v>
      </c>
      <c r="D13" s="161"/>
      <c r="E13" s="161"/>
      <c r="F13" s="161"/>
      <c r="H13" s="161" t="s">
        <v>182</v>
      </c>
      <c r="I13" s="161"/>
      <c r="J13" s="161"/>
      <c r="K13" s="161"/>
      <c r="L13" s="161"/>
      <c r="M13" s="161"/>
      <c r="N13" s="161"/>
      <c r="O13" s="161"/>
      <c r="P13" s="161"/>
      <c r="Q13" s="161"/>
      <c r="S13" s="39">
        <v>0</v>
      </c>
    </row>
    <row r="14" spans="1:24" ht="9.9499999999999993" customHeight="1" x14ac:dyDescent="0.2">
      <c r="C14" s="161" t="s">
        <v>18</v>
      </c>
      <c r="D14" s="161"/>
      <c r="E14" s="161"/>
      <c r="F14" s="161"/>
      <c r="H14" s="161" t="s">
        <v>19</v>
      </c>
      <c r="I14" s="161"/>
      <c r="J14" s="161"/>
      <c r="K14" s="161"/>
      <c r="L14" s="161"/>
      <c r="M14" s="161"/>
      <c r="N14" s="161"/>
      <c r="O14" s="161"/>
      <c r="P14" s="161"/>
      <c r="Q14" s="161"/>
      <c r="S14" s="39">
        <v>503798.51</v>
      </c>
    </row>
    <row r="15" spans="1:24" ht="9.9499999999999993" customHeight="1" x14ac:dyDescent="0.2">
      <c r="C15" s="161" t="s">
        <v>20</v>
      </c>
      <c r="D15" s="161"/>
      <c r="E15" s="161"/>
      <c r="F15" s="161"/>
      <c r="H15" s="161" t="s">
        <v>21</v>
      </c>
      <c r="I15" s="161"/>
      <c r="J15" s="161"/>
      <c r="K15" s="161"/>
      <c r="L15" s="161"/>
      <c r="M15" s="161"/>
      <c r="N15" s="161"/>
      <c r="O15" s="161"/>
      <c r="P15" s="161"/>
      <c r="Q15" s="161"/>
      <c r="S15" s="39">
        <v>92203.95</v>
      </c>
    </row>
    <row r="16" spans="1:24" ht="9.9499999999999993" customHeight="1" x14ac:dyDescent="0.2">
      <c r="C16" s="161" t="s">
        <v>22</v>
      </c>
      <c r="D16" s="161"/>
      <c r="E16" s="161"/>
      <c r="F16" s="161"/>
      <c r="H16" s="161" t="s">
        <v>23</v>
      </c>
      <c r="I16" s="161"/>
      <c r="J16" s="161"/>
      <c r="K16" s="161"/>
      <c r="L16" s="161"/>
      <c r="M16" s="161"/>
      <c r="N16" s="161"/>
      <c r="O16" s="161"/>
      <c r="P16" s="161"/>
      <c r="Q16" s="161"/>
      <c r="S16" s="39">
        <v>0</v>
      </c>
    </row>
    <row r="17" spans="2:23" ht="9.9499999999999993" customHeight="1" x14ac:dyDescent="0.2">
      <c r="C17" s="161" t="s">
        <v>183</v>
      </c>
      <c r="D17" s="161"/>
      <c r="E17" s="161"/>
      <c r="F17" s="161"/>
      <c r="H17" s="161" t="s">
        <v>184</v>
      </c>
      <c r="I17" s="161"/>
      <c r="J17" s="161"/>
      <c r="K17" s="161"/>
      <c r="L17" s="161"/>
      <c r="M17" s="161"/>
      <c r="N17" s="161"/>
      <c r="O17" s="161"/>
      <c r="P17" s="161"/>
      <c r="Q17" s="161"/>
      <c r="S17" s="40">
        <v>1700000</v>
      </c>
    </row>
    <row r="18" spans="2:23" ht="9.9499999999999993" customHeight="1" x14ac:dyDescent="0.2">
      <c r="C18" s="161" t="s">
        <v>54</v>
      </c>
      <c r="D18" s="161"/>
      <c r="E18" s="161"/>
      <c r="F18" s="161"/>
      <c r="H18" s="161" t="s">
        <v>185</v>
      </c>
      <c r="I18" s="161"/>
      <c r="J18" s="161"/>
      <c r="K18" s="161"/>
      <c r="L18" s="161"/>
      <c r="M18" s="161"/>
      <c r="N18" s="161"/>
      <c r="O18" s="161"/>
      <c r="P18" s="161"/>
      <c r="Q18" s="161"/>
      <c r="S18" s="40">
        <v>7000</v>
      </c>
    </row>
    <row r="19" spans="2:23" ht="9.9499999999999993" customHeight="1" x14ac:dyDescent="0.2">
      <c r="C19" s="161" t="s">
        <v>56</v>
      </c>
      <c r="D19" s="161"/>
      <c r="E19" s="161"/>
      <c r="F19" s="161"/>
      <c r="H19" s="161" t="s">
        <v>186</v>
      </c>
      <c r="I19" s="161"/>
      <c r="J19" s="161"/>
      <c r="K19" s="161"/>
      <c r="L19" s="161"/>
      <c r="M19" s="161"/>
      <c r="N19" s="161"/>
      <c r="O19" s="161"/>
      <c r="P19" s="161"/>
      <c r="Q19" s="161"/>
      <c r="S19" s="41">
        <v>9373.9</v>
      </c>
    </row>
    <row r="20" spans="2:23" ht="9.9499999999999993" customHeight="1" x14ac:dyDescent="0.2"/>
    <row r="21" spans="2:23" ht="9.9499999999999993" customHeight="1" x14ac:dyDescent="0.2">
      <c r="H21" s="162" t="s">
        <v>73</v>
      </c>
      <c r="I21" s="162"/>
      <c r="J21" s="162"/>
      <c r="K21" s="162"/>
      <c r="L21" s="162"/>
      <c r="M21" s="162"/>
      <c r="N21" s="162"/>
      <c r="O21" s="162"/>
      <c r="P21" s="162"/>
      <c r="U21" s="163">
        <f>SUM(S11:S19)</f>
        <v>4585863.0600000005</v>
      </c>
      <c r="V21" s="163"/>
      <c r="W21" s="163"/>
    </row>
    <row r="22" spans="2:23" ht="9.9499999999999993" customHeight="1" x14ac:dyDescent="0.2"/>
    <row r="23" spans="2:23" ht="9.9499999999999993" customHeight="1" x14ac:dyDescent="0.2">
      <c r="B23" s="162" t="s">
        <v>74</v>
      </c>
      <c r="C23" s="162"/>
      <c r="D23" s="162"/>
      <c r="E23" s="162"/>
      <c r="F23" s="162"/>
      <c r="G23" s="162"/>
      <c r="H23" s="162"/>
      <c r="I23" s="162"/>
      <c r="J23" s="162"/>
      <c r="K23" s="162"/>
    </row>
    <row r="24" spans="2:23" ht="9.9499999999999993" customHeight="1" x14ac:dyDescent="0.2"/>
    <row r="25" spans="2:23" ht="9.9499999999999993" customHeight="1" x14ac:dyDescent="0.2">
      <c r="C25" s="161" t="s">
        <v>75</v>
      </c>
      <c r="D25" s="161"/>
      <c r="E25" s="161"/>
      <c r="F25" s="161"/>
      <c r="H25" s="161" t="s">
        <v>187</v>
      </c>
      <c r="I25" s="161"/>
      <c r="J25" s="161"/>
      <c r="K25" s="161"/>
      <c r="L25" s="161"/>
      <c r="M25" s="161"/>
      <c r="N25" s="161"/>
      <c r="O25" s="161"/>
      <c r="P25" s="161"/>
      <c r="Q25" s="161"/>
      <c r="S25" s="40">
        <v>8577.17</v>
      </c>
    </row>
    <row r="26" spans="2:23" ht="9.9499999999999993" customHeight="1" x14ac:dyDescent="0.2">
      <c r="C26" s="161" t="s">
        <v>87</v>
      </c>
      <c r="D26" s="161"/>
      <c r="E26" s="161"/>
      <c r="F26" s="161"/>
      <c r="H26" s="161" t="s">
        <v>88</v>
      </c>
      <c r="I26" s="161"/>
      <c r="J26" s="161"/>
      <c r="K26" s="161"/>
      <c r="L26" s="161"/>
      <c r="M26" s="161"/>
      <c r="N26" s="161"/>
      <c r="O26" s="161"/>
      <c r="P26" s="161"/>
      <c r="Q26" s="161"/>
      <c r="S26" s="40">
        <v>20237.79</v>
      </c>
    </row>
    <row r="27" spans="2:23" ht="9.9499999999999993" customHeight="1" x14ac:dyDescent="0.2">
      <c r="C27" s="161" t="s">
        <v>99</v>
      </c>
      <c r="D27" s="161"/>
      <c r="E27" s="161"/>
      <c r="F27" s="161"/>
      <c r="H27" s="161" t="s">
        <v>188</v>
      </c>
      <c r="I27" s="161"/>
      <c r="J27" s="161"/>
      <c r="K27" s="161"/>
      <c r="L27" s="161"/>
      <c r="M27" s="161"/>
      <c r="N27" s="161"/>
      <c r="O27" s="161"/>
      <c r="P27" s="161"/>
      <c r="Q27" s="161"/>
      <c r="S27" s="41">
        <v>-11907.03</v>
      </c>
    </row>
    <row r="28" spans="2:23" ht="9.9499999999999993" customHeight="1" x14ac:dyDescent="0.2"/>
    <row r="29" spans="2:23" ht="9.9499999999999993" customHeight="1" x14ac:dyDescent="0.2">
      <c r="H29" s="162" t="s">
        <v>103</v>
      </c>
      <c r="I29" s="162"/>
      <c r="J29" s="162"/>
      <c r="K29" s="162"/>
      <c r="L29" s="162"/>
      <c r="M29" s="162"/>
      <c r="N29" s="162"/>
      <c r="O29" s="162"/>
      <c r="P29" s="162"/>
      <c r="U29" s="167">
        <f>SUM(S25:S27)</f>
        <v>16907.93</v>
      </c>
      <c r="V29" s="167"/>
      <c r="W29" s="167"/>
    </row>
    <row r="30" spans="2:23" ht="9.9499999999999993" customHeight="1" x14ac:dyDescent="0.2"/>
    <row r="31" spans="2:23" ht="9.9499999999999993" customHeight="1" thickBot="1" x14ac:dyDescent="0.25">
      <c r="I31" s="162" t="s">
        <v>104</v>
      </c>
      <c r="J31" s="162"/>
      <c r="K31" s="162"/>
      <c r="L31" s="162"/>
      <c r="M31" s="162"/>
      <c r="N31" s="162"/>
      <c r="O31" s="162"/>
      <c r="P31" s="162"/>
      <c r="U31" s="168">
        <f>U21+U29</f>
        <v>4602770.99</v>
      </c>
      <c r="V31" s="168"/>
      <c r="W31" s="168"/>
    </row>
    <row r="32" spans="2:23" ht="9.9499999999999993" customHeight="1" thickTop="1" x14ac:dyDescent="0.2"/>
    <row r="33" spans="1:23" ht="9.9499999999999993" customHeight="1" x14ac:dyDescent="0.2">
      <c r="A33" s="162" t="s">
        <v>105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</row>
    <row r="34" spans="1:23" ht="9.9499999999999993" customHeight="1" x14ac:dyDescent="0.2"/>
    <row r="35" spans="1:23" ht="9.9499999999999993" customHeight="1" x14ac:dyDescent="0.2">
      <c r="B35" s="162" t="s">
        <v>106</v>
      </c>
      <c r="C35" s="162"/>
      <c r="D35" s="162"/>
      <c r="E35" s="162"/>
      <c r="F35" s="162"/>
      <c r="G35" s="162"/>
      <c r="H35" s="162"/>
      <c r="I35" s="162"/>
      <c r="J35" s="162"/>
      <c r="K35" s="162"/>
    </row>
    <row r="36" spans="1:23" ht="9.9499999999999993" customHeight="1" x14ac:dyDescent="0.2"/>
    <row r="37" spans="1:23" ht="9.9499999999999993" customHeight="1" x14ac:dyDescent="0.2">
      <c r="C37" s="161" t="s">
        <v>109</v>
      </c>
      <c r="D37" s="161"/>
      <c r="E37" s="161"/>
      <c r="F37" s="161"/>
      <c r="H37" s="161" t="s">
        <v>110</v>
      </c>
      <c r="I37" s="161"/>
      <c r="J37" s="161"/>
      <c r="K37" s="161"/>
      <c r="L37" s="161"/>
      <c r="M37" s="161"/>
      <c r="N37" s="161"/>
      <c r="O37" s="161"/>
      <c r="P37" s="161"/>
      <c r="Q37" s="161"/>
      <c r="S37" s="39">
        <v>1701465.14</v>
      </c>
    </row>
    <row r="38" spans="1:23" ht="9.9499999999999993" customHeight="1" x14ac:dyDescent="0.2">
      <c r="C38" s="161" t="s">
        <v>189</v>
      </c>
      <c r="D38" s="161"/>
      <c r="E38" s="161"/>
      <c r="F38" s="161"/>
      <c r="H38" s="161" t="s">
        <v>190</v>
      </c>
      <c r="I38" s="161"/>
      <c r="J38" s="161"/>
      <c r="K38" s="161"/>
      <c r="L38" s="161"/>
      <c r="M38" s="161"/>
      <c r="N38" s="161"/>
      <c r="O38" s="161"/>
      <c r="P38" s="161"/>
      <c r="Q38" s="161"/>
      <c r="S38" s="39">
        <v>123.67</v>
      </c>
    </row>
    <row r="39" spans="1:23" ht="9.9499999999999993" customHeight="1" x14ac:dyDescent="0.2">
      <c r="C39" s="161" t="s">
        <v>121</v>
      </c>
      <c r="D39" s="161"/>
      <c r="E39" s="161"/>
      <c r="F39" s="161"/>
      <c r="H39" s="161" t="s">
        <v>191</v>
      </c>
      <c r="I39" s="161"/>
      <c r="J39" s="161"/>
      <c r="K39" s="161"/>
      <c r="L39" s="161"/>
      <c r="M39" s="161"/>
      <c r="N39" s="161"/>
      <c r="O39" s="161"/>
      <c r="P39" s="161"/>
      <c r="Q39" s="161"/>
      <c r="S39" s="39">
        <v>3187.5</v>
      </c>
    </row>
    <row r="40" spans="1:23" ht="9.9499999999999993" customHeight="1" x14ac:dyDescent="0.2">
      <c r="C40" s="161" t="s">
        <v>129</v>
      </c>
      <c r="D40" s="161"/>
      <c r="E40" s="161"/>
      <c r="F40" s="161"/>
      <c r="H40" s="161" t="s">
        <v>192</v>
      </c>
      <c r="I40" s="161"/>
      <c r="J40" s="161"/>
      <c r="K40" s="161"/>
      <c r="L40" s="161"/>
      <c r="M40" s="161"/>
      <c r="N40" s="161"/>
      <c r="O40" s="161"/>
      <c r="P40" s="161"/>
      <c r="Q40" s="161"/>
      <c r="S40" s="39">
        <v>68365.929999999993</v>
      </c>
    </row>
    <row r="41" spans="1:23" ht="9.9499999999999993" customHeight="1" x14ac:dyDescent="0.2">
      <c r="C41" s="161">
        <v>2241</v>
      </c>
      <c r="D41" s="161"/>
      <c r="E41" s="161"/>
      <c r="F41" s="161"/>
      <c r="H41" s="161" t="s">
        <v>599</v>
      </c>
      <c r="I41" s="161"/>
      <c r="J41" s="161"/>
      <c r="K41" s="161"/>
      <c r="L41" s="161"/>
      <c r="M41" s="161"/>
      <c r="N41" s="161"/>
      <c r="O41" s="161"/>
      <c r="P41" s="161"/>
      <c r="Q41" s="161"/>
      <c r="S41" s="39">
        <v>67012.899999999994</v>
      </c>
    </row>
    <row r="42" spans="1:23" ht="9.9499999999999993" customHeight="1" x14ac:dyDescent="0.2">
      <c r="S42" s="39">
        <v>0</v>
      </c>
    </row>
    <row r="43" spans="1:23" ht="9.9499999999999993" customHeight="1" x14ac:dyDescent="0.2">
      <c r="C43" s="161" t="s">
        <v>131</v>
      </c>
      <c r="D43" s="161"/>
      <c r="E43" s="161"/>
      <c r="F43" s="161"/>
      <c r="H43" s="161" t="s">
        <v>193</v>
      </c>
      <c r="I43" s="161"/>
      <c r="J43" s="161"/>
      <c r="K43" s="161"/>
      <c r="L43" s="161"/>
      <c r="M43" s="161"/>
      <c r="N43" s="161"/>
      <c r="O43" s="161"/>
      <c r="P43" s="161"/>
      <c r="Q43" s="161"/>
      <c r="S43" s="39">
        <v>2292.5</v>
      </c>
    </row>
    <row r="44" spans="1:23" ht="9.9499999999999993" customHeight="1" x14ac:dyDescent="0.2">
      <c r="C44" s="161">
        <v>2400</v>
      </c>
      <c r="D44" s="161"/>
      <c r="E44" s="161"/>
      <c r="F44" s="161"/>
      <c r="H44" s="161" t="s">
        <v>206</v>
      </c>
      <c r="I44" s="161"/>
      <c r="J44" s="161"/>
      <c r="K44" s="161"/>
      <c r="L44" s="161"/>
      <c r="M44" s="161"/>
      <c r="N44" s="161"/>
      <c r="O44" s="161"/>
      <c r="P44" s="161"/>
      <c r="Q44" s="161"/>
      <c r="S44" s="39">
        <v>357525.02</v>
      </c>
    </row>
    <row r="45" spans="1:23" ht="9.9499999999999993" customHeight="1" x14ac:dyDescent="0.2">
      <c r="C45" s="161">
        <v>2401</v>
      </c>
      <c r="D45" s="161"/>
      <c r="E45" s="161"/>
      <c r="F45" s="161"/>
      <c r="H45" s="161" t="s">
        <v>582</v>
      </c>
      <c r="I45" s="161"/>
      <c r="J45" s="161"/>
      <c r="K45" s="161"/>
      <c r="L45" s="161"/>
      <c r="M45" s="161"/>
      <c r="N45" s="161"/>
      <c r="O45" s="161"/>
      <c r="P45" s="161"/>
      <c r="Q45" s="161"/>
      <c r="S45" s="42">
        <v>50000</v>
      </c>
    </row>
    <row r="46" spans="1:23" ht="9.9499999999999993" customHeight="1" x14ac:dyDescent="0.2"/>
    <row r="47" spans="1:23" ht="9.9499999999999993" customHeight="1" x14ac:dyDescent="0.2">
      <c r="H47" s="162" t="s">
        <v>149</v>
      </c>
      <c r="I47" s="162"/>
      <c r="J47" s="162"/>
      <c r="K47" s="162"/>
      <c r="L47" s="162"/>
      <c r="M47" s="162"/>
      <c r="N47" s="162"/>
      <c r="O47" s="162"/>
      <c r="P47" s="162"/>
      <c r="U47" s="163">
        <f>SUM(S37:S45)</f>
        <v>2249972.6599999997</v>
      </c>
      <c r="V47" s="163"/>
      <c r="W47" s="163"/>
    </row>
    <row r="48" spans="1:23" ht="9.9499999999999993" customHeight="1" x14ac:dyDescent="0.2"/>
    <row r="49" spans="1:23" ht="9.9499999999999993" customHeight="1" x14ac:dyDescent="0.2">
      <c r="I49" s="162" t="s">
        <v>160</v>
      </c>
      <c r="J49" s="162"/>
      <c r="K49" s="162"/>
      <c r="L49" s="162"/>
      <c r="M49" s="162"/>
      <c r="N49" s="162"/>
      <c r="O49" s="162"/>
      <c r="P49" s="162"/>
      <c r="U49" s="163">
        <f>U47</f>
        <v>2249972.6599999997</v>
      </c>
      <c r="V49" s="163"/>
      <c r="W49" s="163"/>
    </row>
    <row r="50" spans="1:23" ht="9.9499999999999993" customHeight="1" x14ac:dyDescent="0.2"/>
    <row r="51" spans="1:23" ht="9.9499999999999993" customHeight="1" x14ac:dyDescent="0.2">
      <c r="A51" s="162" t="s">
        <v>161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</row>
    <row r="52" spans="1:23" ht="9.9499999999999993" customHeight="1" x14ac:dyDescent="0.2"/>
    <row r="53" spans="1:23" ht="9.9499999999999993" customHeight="1" x14ac:dyDescent="0.2">
      <c r="C53" s="161" t="s">
        <v>166</v>
      </c>
      <c r="D53" s="161"/>
      <c r="E53" s="161"/>
      <c r="F53" s="161"/>
      <c r="H53" s="161" t="s">
        <v>167</v>
      </c>
      <c r="I53" s="161"/>
      <c r="J53" s="161"/>
      <c r="K53" s="161"/>
      <c r="L53" s="161"/>
      <c r="M53" s="161"/>
      <c r="N53" s="161"/>
      <c r="O53" s="161"/>
      <c r="P53" s="161"/>
      <c r="Q53" s="161"/>
      <c r="S53" s="40">
        <v>274297.06</v>
      </c>
    </row>
    <row r="54" spans="1:23" ht="9.9499999999999993" customHeight="1" x14ac:dyDescent="0.2">
      <c r="C54" s="161" t="s">
        <v>166</v>
      </c>
      <c r="D54" s="161"/>
      <c r="E54" s="161"/>
      <c r="F54" s="161"/>
      <c r="H54" s="161" t="s">
        <v>194</v>
      </c>
      <c r="I54" s="161"/>
      <c r="J54" s="161"/>
      <c r="K54" s="161"/>
      <c r="L54" s="161"/>
      <c r="M54" s="161"/>
      <c r="N54" s="161"/>
      <c r="O54" s="161"/>
      <c r="P54" s="161"/>
      <c r="Q54" s="161"/>
      <c r="S54" s="41">
        <v>2078501.27</v>
      </c>
    </row>
    <row r="55" spans="1:23" ht="9.9499999999999993" customHeight="1" x14ac:dyDescent="0.2"/>
    <row r="56" spans="1:23" ht="9.9499999999999993" customHeight="1" x14ac:dyDescent="0.2">
      <c r="I56" s="162" t="s">
        <v>177</v>
      </c>
      <c r="J56" s="162"/>
      <c r="K56" s="162"/>
      <c r="L56" s="162"/>
      <c r="M56" s="162"/>
      <c r="N56" s="162"/>
      <c r="O56" s="162"/>
      <c r="P56" s="162"/>
      <c r="U56" s="164">
        <f>SUM(S53:S55)</f>
        <v>2352798.33</v>
      </c>
      <c r="V56" s="164"/>
      <c r="W56" s="164"/>
    </row>
    <row r="57" spans="1:23" ht="9.9499999999999993" customHeight="1" x14ac:dyDescent="0.2">
      <c r="U57" s="5"/>
      <c r="V57" s="5"/>
      <c r="W57" s="5"/>
    </row>
    <row r="58" spans="1:23" ht="9.9499999999999993" customHeight="1" x14ac:dyDescent="0.2">
      <c r="I58" s="162" t="s">
        <v>178</v>
      </c>
      <c r="J58" s="162"/>
      <c r="K58" s="162"/>
      <c r="L58" s="162"/>
      <c r="M58" s="162"/>
      <c r="N58" s="162"/>
      <c r="O58" s="162"/>
      <c r="P58" s="162"/>
      <c r="U58" s="164"/>
      <c r="V58" s="164"/>
      <c r="W58" s="164"/>
    </row>
    <row r="59" spans="1:23" ht="9.9499999999999993" customHeight="1" x14ac:dyDescent="0.2">
      <c r="I59" s="162"/>
      <c r="J59" s="162"/>
      <c r="K59" s="162"/>
      <c r="L59" s="162"/>
      <c r="M59" s="162"/>
      <c r="N59" s="162"/>
      <c r="O59" s="162"/>
      <c r="P59" s="162"/>
      <c r="U59" s="164">
        <f>U49+U56</f>
        <v>4602770.99</v>
      </c>
      <c r="V59" s="164"/>
      <c r="W59" s="164"/>
    </row>
    <row r="60" spans="1:23" ht="9.9499999999999993" customHeight="1" x14ac:dyDescent="0.2">
      <c r="U60" s="164"/>
      <c r="V60" s="164"/>
      <c r="W60" s="164"/>
    </row>
    <row r="61" spans="1:23" ht="6" customHeight="1" x14ac:dyDescent="0.2"/>
    <row r="62" spans="1:23" ht="12" customHeight="1" x14ac:dyDescent="0.2">
      <c r="A62" s="172"/>
      <c r="B62" s="172"/>
      <c r="C62" s="172"/>
      <c r="D62" s="172"/>
      <c r="F62" s="174"/>
      <c r="G62" s="174"/>
      <c r="H62" s="174"/>
      <c r="I62" s="174"/>
      <c r="J62" s="174"/>
      <c r="V62" s="43">
        <f>U31-U59</f>
        <v>0</v>
      </c>
      <c r="W62" s="4"/>
    </row>
    <row r="63" spans="1:23" ht="12" customHeight="1" x14ac:dyDescent="0.2">
      <c r="A63" s="172"/>
      <c r="B63" s="172"/>
      <c r="C63" s="172"/>
      <c r="D63" s="172"/>
      <c r="F63" s="173"/>
      <c r="G63" s="173"/>
      <c r="H63" s="173"/>
      <c r="I63" s="173"/>
    </row>
  </sheetData>
  <mergeCells count="73">
    <mergeCell ref="A1:X1"/>
    <mergeCell ref="A3:X3"/>
    <mergeCell ref="A4:X4"/>
    <mergeCell ref="A7:M7"/>
    <mergeCell ref="B9:K9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C17:F17"/>
    <mergeCell ref="H17:Q17"/>
    <mergeCell ref="C18:F18"/>
    <mergeCell ref="H18:Q18"/>
    <mergeCell ref="C19:F19"/>
    <mergeCell ref="H19:Q19"/>
    <mergeCell ref="H21:P21"/>
    <mergeCell ref="U21:W21"/>
    <mergeCell ref="B23:K23"/>
    <mergeCell ref="C25:F25"/>
    <mergeCell ref="H25:Q25"/>
    <mergeCell ref="C26:F26"/>
    <mergeCell ref="H26:Q26"/>
    <mergeCell ref="C27:F27"/>
    <mergeCell ref="H27:Q27"/>
    <mergeCell ref="H29:P29"/>
    <mergeCell ref="U29:W29"/>
    <mergeCell ref="I31:P31"/>
    <mergeCell ref="U31:W31"/>
    <mergeCell ref="A33:M33"/>
    <mergeCell ref="B35:K35"/>
    <mergeCell ref="C37:F37"/>
    <mergeCell ref="H37:Q37"/>
    <mergeCell ref="C38:F38"/>
    <mergeCell ref="H38:Q38"/>
    <mergeCell ref="C39:F39"/>
    <mergeCell ref="H39:Q39"/>
    <mergeCell ref="C40:F40"/>
    <mergeCell ref="H40:Q40"/>
    <mergeCell ref="C45:F45"/>
    <mergeCell ref="H45:Q45"/>
    <mergeCell ref="H47:P47"/>
    <mergeCell ref="C41:F41"/>
    <mergeCell ref="H41:Q41"/>
    <mergeCell ref="U47:W47"/>
    <mergeCell ref="C43:F43"/>
    <mergeCell ref="H43:Q43"/>
    <mergeCell ref="I49:P49"/>
    <mergeCell ref="U49:W49"/>
    <mergeCell ref="C44:F44"/>
    <mergeCell ref="H44:Q44"/>
    <mergeCell ref="A51:M51"/>
    <mergeCell ref="C53:F53"/>
    <mergeCell ref="H53:Q53"/>
    <mergeCell ref="C54:F54"/>
    <mergeCell ref="H54:Q54"/>
    <mergeCell ref="U60:W60"/>
    <mergeCell ref="A63:D63"/>
    <mergeCell ref="F63:I63"/>
    <mergeCell ref="I56:P56"/>
    <mergeCell ref="U56:W56"/>
    <mergeCell ref="I58:P59"/>
    <mergeCell ref="A62:D62"/>
    <mergeCell ref="F62:J62"/>
    <mergeCell ref="U58:W58"/>
    <mergeCell ref="U59:W59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2:S46"/>
  <sheetViews>
    <sheetView topLeftCell="A4" workbookViewId="0">
      <selection activeCell="K40" sqref="K40"/>
    </sheetView>
  </sheetViews>
  <sheetFormatPr defaultRowHeight="12.75" x14ac:dyDescent="0.2"/>
  <cols>
    <col min="3" max="3" width="15.28515625" bestFit="1" customWidth="1"/>
    <col min="4" max="4" width="17.140625" bestFit="1" customWidth="1"/>
    <col min="5" max="5" width="27.140625" bestFit="1" customWidth="1"/>
    <col min="6" max="6" width="9.7109375" customWidth="1"/>
  </cols>
  <sheetData>
    <row r="2" spans="1:19" x14ac:dyDescent="0.2">
      <c r="A2" s="175" t="s">
        <v>587</v>
      </c>
      <c r="B2" s="176"/>
      <c r="C2" s="176"/>
      <c r="D2" s="176"/>
      <c r="E2" s="176"/>
      <c r="F2" s="177"/>
    </row>
    <row r="3" spans="1:19" x14ac:dyDescent="0.2">
      <c r="A3" s="178"/>
      <c r="B3" s="179"/>
      <c r="C3" s="179"/>
      <c r="D3" s="179"/>
      <c r="E3" s="179"/>
      <c r="F3" s="180"/>
    </row>
    <row r="4" spans="1:19" x14ac:dyDescent="0.2">
      <c r="A4" s="178"/>
      <c r="B4" s="179"/>
      <c r="C4" s="179"/>
      <c r="D4" s="179"/>
      <c r="E4" s="179"/>
      <c r="F4" s="180"/>
    </row>
    <row r="5" spans="1:19" x14ac:dyDescent="0.2">
      <c r="A5" s="181"/>
      <c r="B5" s="182"/>
      <c r="C5" s="182"/>
      <c r="D5" s="182"/>
      <c r="E5" s="182"/>
      <c r="F5" s="183"/>
    </row>
    <row r="8" spans="1:19" ht="13.5" thickBot="1" x14ac:dyDescent="0.25">
      <c r="A8" s="115"/>
      <c r="B8" s="115"/>
      <c r="C8" s="115"/>
      <c r="D8" s="115"/>
      <c r="E8" s="115"/>
      <c r="F8" s="116" t="s">
        <v>588</v>
      </c>
    </row>
    <row r="9" spans="1:19" ht="13.5" thickTop="1" x14ac:dyDescent="0.2">
      <c r="A9" s="108" t="s">
        <v>341</v>
      </c>
      <c r="B9" s="108"/>
      <c r="C9" s="108"/>
      <c r="D9" s="108"/>
      <c r="E9" s="108"/>
      <c r="F9" s="109"/>
      <c r="S9">
        <v>0</v>
      </c>
    </row>
    <row r="10" spans="1:19" x14ac:dyDescent="0.2">
      <c r="A10" s="108"/>
      <c r="B10" s="108" t="s">
        <v>3</v>
      </c>
      <c r="C10" s="108"/>
      <c r="D10" s="108"/>
      <c r="E10" s="108"/>
      <c r="F10" s="109"/>
      <c r="S10">
        <v>0</v>
      </c>
    </row>
    <row r="11" spans="1:19" x14ac:dyDescent="0.2">
      <c r="A11" s="108"/>
      <c r="B11" s="108"/>
      <c r="C11" s="108" t="s">
        <v>342</v>
      </c>
      <c r="D11" s="108"/>
      <c r="E11" s="108"/>
      <c r="F11" s="109"/>
    </row>
    <row r="12" spans="1:19" ht="13.5" thickBot="1" x14ac:dyDescent="0.25">
      <c r="A12" s="108"/>
      <c r="B12" s="108"/>
      <c r="C12" s="108"/>
      <c r="D12" s="108" t="s">
        <v>517</v>
      </c>
      <c r="E12" s="108"/>
      <c r="F12" s="110">
        <v>1000</v>
      </c>
    </row>
    <row r="13" spans="1:19" x14ac:dyDescent="0.2">
      <c r="A13" s="108"/>
      <c r="B13" s="108"/>
      <c r="C13" s="108" t="s">
        <v>346</v>
      </c>
      <c r="D13" s="108"/>
      <c r="E13" s="108"/>
      <c r="F13" s="109">
        <f>F12</f>
        <v>1000</v>
      </c>
    </row>
    <row r="14" spans="1:19" x14ac:dyDescent="0.2">
      <c r="A14" s="108"/>
      <c r="B14" s="108"/>
      <c r="C14" s="108" t="s">
        <v>518</v>
      </c>
      <c r="D14" s="108"/>
      <c r="E14" s="108"/>
      <c r="F14" s="109"/>
    </row>
    <row r="15" spans="1:19" ht="13.5" thickBot="1" x14ac:dyDescent="0.25">
      <c r="A15" s="108"/>
      <c r="B15" s="108"/>
      <c r="C15" s="108"/>
      <c r="D15" s="108" t="s">
        <v>519</v>
      </c>
      <c r="E15" s="108"/>
      <c r="F15" s="110">
        <v>694083.7</v>
      </c>
    </row>
    <row r="16" spans="1:19" x14ac:dyDescent="0.2">
      <c r="A16" s="108"/>
      <c r="B16" s="108"/>
      <c r="C16" s="108" t="s">
        <v>520</v>
      </c>
      <c r="D16" s="108"/>
      <c r="E16" s="108"/>
      <c r="F16" s="109">
        <f>F15</f>
        <v>694083.7</v>
      </c>
    </row>
    <row r="17" spans="1:6" x14ac:dyDescent="0.2">
      <c r="A17" s="108"/>
      <c r="B17" s="108"/>
      <c r="C17" s="108" t="s">
        <v>415</v>
      </c>
      <c r="D17" s="108"/>
      <c r="E17" s="108"/>
      <c r="F17" s="109"/>
    </row>
    <row r="18" spans="1:6" x14ac:dyDescent="0.2">
      <c r="A18" s="108"/>
      <c r="B18" s="108"/>
      <c r="C18" s="108"/>
      <c r="D18" s="108" t="s">
        <v>577</v>
      </c>
      <c r="E18" s="108"/>
      <c r="F18" s="109">
        <v>0</v>
      </c>
    </row>
    <row r="19" spans="1:6" x14ac:dyDescent="0.2">
      <c r="A19" s="108"/>
      <c r="B19" s="108"/>
      <c r="C19" s="108"/>
      <c r="D19" s="108" t="s">
        <v>533</v>
      </c>
      <c r="E19" s="108"/>
      <c r="F19" s="109">
        <v>1000</v>
      </c>
    </row>
    <row r="20" spans="1:6" x14ac:dyDescent="0.2">
      <c r="A20" s="108"/>
      <c r="B20" s="108"/>
      <c r="C20" s="108"/>
      <c r="D20" s="108" t="s">
        <v>534</v>
      </c>
      <c r="E20" s="108"/>
      <c r="F20" s="109">
        <v>7500</v>
      </c>
    </row>
    <row r="21" spans="1:6" ht="13.5" thickBot="1" x14ac:dyDescent="0.25">
      <c r="A21" s="108"/>
      <c r="B21" s="108"/>
      <c r="C21" s="108"/>
      <c r="D21" s="108" t="s">
        <v>534</v>
      </c>
      <c r="E21" s="108"/>
      <c r="F21" s="111">
        <v>768.32</v>
      </c>
    </row>
    <row r="22" spans="1:6" ht="13.5" thickBot="1" x14ac:dyDescent="0.25">
      <c r="A22" s="108"/>
      <c r="B22" s="108"/>
      <c r="C22" s="108" t="s">
        <v>419</v>
      </c>
      <c r="D22" s="108"/>
      <c r="E22" s="108"/>
      <c r="F22" s="112">
        <f>SUM(F18:F21)</f>
        <v>9268.32</v>
      </c>
    </row>
    <row r="23" spans="1:6" ht="13.5" thickBot="1" x14ac:dyDescent="0.25">
      <c r="A23" s="108"/>
      <c r="B23" s="108" t="s">
        <v>277</v>
      </c>
      <c r="C23" s="108"/>
      <c r="D23" s="108"/>
      <c r="E23" s="108"/>
      <c r="F23" s="112">
        <f>F13+F16+F22</f>
        <v>704352.0199999999</v>
      </c>
    </row>
    <row r="24" spans="1:6" ht="13.5" thickBot="1" x14ac:dyDescent="0.25">
      <c r="A24" s="108" t="s">
        <v>375</v>
      </c>
      <c r="B24" s="108"/>
      <c r="C24" s="108"/>
      <c r="D24" s="108"/>
      <c r="E24" s="108"/>
      <c r="F24" s="113">
        <f>F23</f>
        <v>704352.0199999999</v>
      </c>
    </row>
    <row r="25" spans="1:6" ht="13.5" thickTop="1" x14ac:dyDescent="0.2">
      <c r="A25" s="108" t="s">
        <v>376</v>
      </c>
      <c r="B25" s="108"/>
      <c r="C25" s="108"/>
      <c r="D25" s="108"/>
      <c r="E25" s="108"/>
      <c r="F25" s="109"/>
    </row>
    <row r="26" spans="1:6" x14ac:dyDescent="0.2">
      <c r="A26" s="108"/>
      <c r="B26" s="108" t="s">
        <v>105</v>
      </c>
      <c r="C26" s="108"/>
      <c r="D26" s="108"/>
      <c r="E26" s="108"/>
      <c r="F26" s="109"/>
    </row>
    <row r="27" spans="1:6" x14ac:dyDescent="0.2">
      <c r="A27" s="108"/>
      <c r="B27" s="108"/>
      <c r="C27" s="108" t="s">
        <v>106</v>
      </c>
      <c r="D27" s="108"/>
      <c r="E27" s="108"/>
      <c r="F27" s="109"/>
    </row>
    <row r="28" spans="1:6" x14ac:dyDescent="0.2">
      <c r="A28" s="108"/>
      <c r="B28" s="108"/>
      <c r="C28" s="108"/>
      <c r="D28" s="108" t="s">
        <v>455</v>
      </c>
      <c r="E28" s="108"/>
      <c r="F28" s="109"/>
    </row>
    <row r="29" spans="1:6" ht="13.5" thickBot="1" x14ac:dyDescent="0.25">
      <c r="A29" s="108"/>
      <c r="B29" s="108"/>
      <c r="C29" s="108"/>
      <c r="D29" s="108"/>
      <c r="E29" s="108" t="s">
        <v>523</v>
      </c>
      <c r="F29" s="110">
        <v>0</v>
      </c>
    </row>
    <row r="30" spans="1:6" x14ac:dyDescent="0.2">
      <c r="A30" s="108"/>
      <c r="B30" s="108"/>
      <c r="C30" s="108"/>
      <c r="D30" s="108" t="s">
        <v>457</v>
      </c>
      <c r="E30" s="108"/>
      <c r="F30" s="109">
        <f>F29</f>
        <v>0</v>
      </c>
    </row>
    <row r="31" spans="1:6" x14ac:dyDescent="0.2">
      <c r="A31" s="108"/>
      <c r="B31" s="108"/>
      <c r="C31" s="108"/>
      <c r="D31" s="108" t="s">
        <v>377</v>
      </c>
      <c r="E31" s="108"/>
      <c r="F31" s="109"/>
    </row>
    <row r="32" spans="1:6" x14ac:dyDescent="0.2">
      <c r="A32" s="108"/>
      <c r="B32" s="108"/>
      <c r="C32" s="108"/>
      <c r="D32" s="108"/>
      <c r="E32" s="108" t="s">
        <v>535</v>
      </c>
      <c r="F32" s="109">
        <v>0</v>
      </c>
    </row>
    <row r="33" spans="1:6" x14ac:dyDescent="0.2">
      <c r="A33" s="108"/>
      <c r="B33" s="108"/>
      <c r="C33" s="108"/>
      <c r="D33" s="108"/>
      <c r="E33" s="108" t="s">
        <v>580</v>
      </c>
      <c r="F33" s="109">
        <v>750</v>
      </c>
    </row>
    <row r="34" spans="1:6" x14ac:dyDescent="0.2">
      <c r="A34" s="108"/>
      <c r="B34" s="108"/>
      <c r="C34" s="108"/>
      <c r="D34" s="108"/>
      <c r="E34" s="108" t="s">
        <v>525</v>
      </c>
      <c r="F34" s="109">
        <v>277917.64</v>
      </c>
    </row>
    <row r="35" spans="1:6" x14ac:dyDescent="0.2">
      <c r="A35" s="108"/>
      <c r="B35" s="108"/>
      <c r="C35" s="108"/>
      <c r="D35" s="108"/>
      <c r="E35" s="108" t="s">
        <v>536</v>
      </c>
      <c r="F35" s="109">
        <v>20418.84</v>
      </c>
    </row>
    <row r="36" spans="1:6" ht="13.5" thickBot="1" x14ac:dyDescent="0.25">
      <c r="A36" s="108"/>
      <c r="B36" s="108"/>
      <c r="C36" s="108"/>
      <c r="D36" s="108"/>
      <c r="E36" s="108" t="s">
        <v>526</v>
      </c>
      <c r="F36" s="111">
        <v>7969.41</v>
      </c>
    </row>
    <row r="37" spans="1:6" ht="13.5" thickBot="1" x14ac:dyDescent="0.25">
      <c r="A37" s="108"/>
      <c r="B37" s="108"/>
      <c r="C37" s="108"/>
      <c r="D37" s="108" t="s">
        <v>387</v>
      </c>
      <c r="E37" s="108"/>
      <c r="F37" s="112">
        <f>F32+F34+F35+F36+F33</f>
        <v>307055.89</v>
      </c>
    </row>
    <row r="38" spans="1:6" ht="13.5" thickBot="1" x14ac:dyDescent="0.25">
      <c r="A38" s="108"/>
      <c r="B38" s="108"/>
      <c r="C38" s="108" t="s">
        <v>388</v>
      </c>
      <c r="D38" s="108"/>
      <c r="E38" s="108"/>
      <c r="F38" s="114">
        <f>F30+F37</f>
        <v>307055.89</v>
      </c>
    </row>
    <row r="39" spans="1:6" x14ac:dyDescent="0.2">
      <c r="A39" s="108"/>
      <c r="B39" s="108" t="s">
        <v>324</v>
      </c>
      <c r="C39" s="108"/>
      <c r="D39" s="108"/>
      <c r="E39" s="108"/>
      <c r="F39" s="109">
        <f>F38</f>
        <v>307055.89</v>
      </c>
    </row>
    <row r="40" spans="1:6" x14ac:dyDescent="0.2">
      <c r="A40" s="108"/>
      <c r="B40" s="108" t="s">
        <v>161</v>
      </c>
      <c r="C40" s="108"/>
      <c r="D40" s="108"/>
      <c r="E40" s="108"/>
      <c r="F40" s="109"/>
    </row>
    <row r="41" spans="1:6" x14ac:dyDescent="0.2">
      <c r="A41" s="108"/>
      <c r="B41" s="108"/>
      <c r="C41" s="108" t="s">
        <v>527</v>
      </c>
      <c r="D41" s="108"/>
      <c r="E41" s="108"/>
      <c r="F41" s="109">
        <v>377364.76</v>
      </c>
    </row>
    <row r="42" spans="1:6" ht="13.5" thickBot="1" x14ac:dyDescent="0.25">
      <c r="A42" s="108"/>
      <c r="B42" s="108"/>
      <c r="C42" s="108" t="s">
        <v>393</v>
      </c>
      <c r="D42" s="108"/>
      <c r="E42" s="108"/>
      <c r="F42" s="111">
        <v>19931.37</v>
      </c>
    </row>
    <row r="43" spans="1:6" ht="13.5" thickBot="1" x14ac:dyDescent="0.25">
      <c r="A43" s="108"/>
      <c r="B43" s="108" t="s">
        <v>335</v>
      </c>
      <c r="C43" s="108"/>
      <c r="D43" s="108"/>
      <c r="E43" s="108"/>
      <c r="F43" s="112">
        <f>F41+F42</f>
        <v>397296.13</v>
      </c>
    </row>
    <row r="44" spans="1:6" ht="13.5" thickBot="1" x14ac:dyDescent="0.25">
      <c r="A44" s="108" t="s">
        <v>394</v>
      </c>
      <c r="B44" s="108"/>
      <c r="C44" s="108"/>
      <c r="D44" s="108"/>
      <c r="E44" s="108"/>
      <c r="F44" s="113">
        <f>F39+F43</f>
        <v>704352.02</v>
      </c>
    </row>
    <row r="45" spans="1:6" ht="15.75" thickTop="1" x14ac:dyDescent="0.25">
      <c r="A45" s="107"/>
      <c r="B45" s="107"/>
      <c r="C45" s="107"/>
      <c r="D45" s="107"/>
      <c r="E45" s="107"/>
      <c r="F45" s="107"/>
    </row>
    <row r="46" spans="1:6" x14ac:dyDescent="0.2">
      <c r="F46" s="124">
        <f>F24-F44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S69"/>
  <sheetViews>
    <sheetView topLeftCell="A45" zoomScaleNormal="100" workbookViewId="0">
      <selection activeCell="K73" sqref="K73"/>
    </sheetView>
  </sheetViews>
  <sheetFormatPr defaultRowHeight="12.75" x14ac:dyDescent="0.2"/>
  <cols>
    <col min="1" max="4" width="2.28515625" style="21" customWidth="1"/>
    <col min="5" max="5" width="30.28515625" style="21" bestFit="1" customWidth="1"/>
    <col min="6" max="6" width="12.28515625" style="33" bestFit="1" customWidth="1"/>
    <col min="7" max="7" width="7.140625" style="14" customWidth="1"/>
  </cols>
  <sheetData>
    <row r="1" spans="1:19" ht="13.5" thickBot="1" x14ac:dyDescent="0.25">
      <c r="A1" s="9"/>
      <c r="B1" s="9"/>
      <c r="C1" s="9"/>
      <c r="D1" s="9"/>
      <c r="E1" s="9"/>
      <c r="F1" s="26" t="s">
        <v>588</v>
      </c>
      <c r="G1" s="11"/>
      <c r="H1" s="133" t="s">
        <v>556</v>
      </c>
    </row>
    <row r="2" spans="1:19" ht="13.5" thickTop="1" x14ac:dyDescent="0.2">
      <c r="A2" s="12" t="s">
        <v>341</v>
      </c>
      <c r="B2" s="12"/>
      <c r="C2" s="12"/>
      <c r="D2" s="12"/>
      <c r="E2" s="12"/>
      <c r="F2" s="27"/>
    </row>
    <row r="3" spans="1:19" x14ac:dyDescent="0.2">
      <c r="A3" s="12"/>
      <c r="B3" s="12" t="s">
        <v>3</v>
      </c>
      <c r="C3" s="12"/>
      <c r="D3" s="12"/>
      <c r="E3" s="12"/>
      <c r="F3" s="27"/>
    </row>
    <row r="4" spans="1:19" x14ac:dyDescent="0.2">
      <c r="A4" s="12"/>
      <c r="B4" s="12"/>
      <c r="C4" s="12" t="s">
        <v>342</v>
      </c>
      <c r="D4" s="12"/>
      <c r="E4" s="12"/>
      <c r="F4" s="27"/>
      <c r="H4" s="184"/>
      <c r="I4" s="184"/>
    </row>
    <row r="5" spans="1:19" x14ac:dyDescent="0.2">
      <c r="A5" s="12"/>
      <c r="B5" s="12"/>
      <c r="C5" s="12"/>
      <c r="D5" s="12" t="s">
        <v>343</v>
      </c>
      <c r="E5" s="12"/>
      <c r="F5" s="27">
        <v>235</v>
      </c>
      <c r="H5" s="184"/>
      <c r="I5" s="184"/>
    </row>
    <row r="6" spans="1:19" x14ac:dyDescent="0.2">
      <c r="A6" s="12"/>
      <c r="B6" s="12"/>
      <c r="C6" s="12"/>
      <c r="D6" s="12" t="s">
        <v>344</v>
      </c>
      <c r="E6" s="12"/>
      <c r="F6" s="27">
        <v>435426.93</v>
      </c>
      <c r="H6" s="184"/>
      <c r="I6" s="184"/>
    </row>
    <row r="7" spans="1:19" ht="13.5" thickBot="1" x14ac:dyDescent="0.25">
      <c r="A7" s="12"/>
      <c r="B7" s="12"/>
      <c r="C7" s="12"/>
      <c r="D7" s="12" t="s">
        <v>345</v>
      </c>
      <c r="E7" s="12"/>
      <c r="F7" s="28">
        <v>65245.3</v>
      </c>
      <c r="H7" s="184"/>
      <c r="I7" s="184"/>
    </row>
    <row r="8" spans="1:19" ht="13.5" thickBot="1" x14ac:dyDescent="0.25">
      <c r="A8" s="12"/>
      <c r="B8" s="12"/>
      <c r="C8" s="12" t="s">
        <v>346</v>
      </c>
      <c r="D8" s="12"/>
      <c r="E8" s="12"/>
      <c r="F8" s="29">
        <f>ROUND(SUM(F4:F7),5)</f>
        <v>500907.23</v>
      </c>
      <c r="H8" s="184"/>
      <c r="I8" s="184"/>
    </row>
    <row r="9" spans="1:19" x14ac:dyDescent="0.2">
      <c r="A9" s="12"/>
      <c r="B9" s="12" t="s">
        <v>277</v>
      </c>
      <c r="C9" s="12"/>
      <c r="D9" s="12"/>
      <c r="E9" s="12"/>
      <c r="F9" s="27">
        <f>ROUND(F3+F8,5)</f>
        <v>500907.23</v>
      </c>
      <c r="H9" s="184"/>
      <c r="I9" s="184"/>
      <c r="S9">
        <v>0</v>
      </c>
    </row>
    <row r="10" spans="1:19" x14ac:dyDescent="0.2">
      <c r="A10" s="12"/>
      <c r="B10" s="12" t="s">
        <v>347</v>
      </c>
      <c r="C10" s="12"/>
      <c r="D10" s="12"/>
      <c r="E10" s="12"/>
      <c r="F10" s="27"/>
      <c r="H10" s="184"/>
      <c r="I10" s="184"/>
      <c r="S10">
        <v>0</v>
      </c>
    </row>
    <row r="11" spans="1:19" x14ac:dyDescent="0.2">
      <c r="A11" s="12"/>
      <c r="B11" s="12"/>
      <c r="C11" s="12" t="s">
        <v>348</v>
      </c>
      <c r="D11" s="12"/>
      <c r="E11" s="12"/>
      <c r="F11" s="27">
        <v>44183.17</v>
      </c>
    </row>
    <row r="12" spans="1:19" x14ac:dyDescent="0.2">
      <c r="A12" s="12"/>
      <c r="B12" s="12"/>
      <c r="C12" s="12" t="s">
        <v>349</v>
      </c>
      <c r="D12" s="12"/>
      <c r="E12" s="12"/>
      <c r="F12" s="27">
        <v>30402.58</v>
      </c>
    </row>
    <row r="13" spans="1:19" x14ac:dyDescent="0.2">
      <c r="A13" s="12"/>
      <c r="B13" s="12"/>
      <c r="C13" s="12" t="s">
        <v>350</v>
      </c>
      <c r="D13" s="12"/>
      <c r="E13" s="12"/>
      <c r="F13" s="27">
        <v>69208.179999999993</v>
      </c>
    </row>
    <row r="14" spans="1:19" x14ac:dyDescent="0.2">
      <c r="A14" s="12"/>
      <c r="B14" s="12"/>
      <c r="C14" s="12" t="s">
        <v>351</v>
      </c>
      <c r="D14" s="12"/>
      <c r="E14" s="12"/>
      <c r="F14" s="27">
        <v>54277.27</v>
      </c>
    </row>
    <row r="15" spans="1:19" x14ac:dyDescent="0.2">
      <c r="A15" s="12"/>
      <c r="B15" s="12"/>
      <c r="C15" s="12" t="s">
        <v>352</v>
      </c>
      <c r="D15" s="12"/>
      <c r="E15" s="12"/>
      <c r="F15" s="27">
        <v>30406.89</v>
      </c>
    </row>
    <row r="16" spans="1:19" x14ac:dyDescent="0.2">
      <c r="A16" s="12"/>
      <c r="B16" s="12"/>
      <c r="C16" s="12" t="s">
        <v>353</v>
      </c>
      <c r="D16" s="12"/>
      <c r="E16" s="12"/>
      <c r="F16" s="27">
        <v>24019.25</v>
      </c>
    </row>
    <row r="17" spans="1:6" x14ac:dyDescent="0.2">
      <c r="A17" s="12"/>
      <c r="B17" s="12"/>
      <c r="C17" s="12" t="s">
        <v>354</v>
      </c>
      <c r="D17" s="12"/>
      <c r="E17" s="12"/>
      <c r="F17" s="27">
        <v>246490.68</v>
      </c>
    </row>
    <row r="18" spans="1:6" x14ac:dyDescent="0.2">
      <c r="A18" s="12"/>
      <c r="B18" s="12"/>
      <c r="C18" s="12" t="s">
        <v>355</v>
      </c>
      <c r="D18" s="12"/>
      <c r="E18" s="12"/>
      <c r="F18" s="27">
        <v>458729.25</v>
      </c>
    </row>
    <row r="19" spans="1:6" x14ac:dyDescent="0.2">
      <c r="A19" s="12"/>
      <c r="B19" s="12"/>
      <c r="C19" s="12" t="s">
        <v>356</v>
      </c>
      <c r="D19" s="12"/>
      <c r="E19" s="12"/>
      <c r="F19" s="27">
        <v>40054.61</v>
      </c>
    </row>
    <row r="20" spans="1:6" x14ac:dyDescent="0.2">
      <c r="A20" s="12"/>
      <c r="B20" s="12"/>
      <c r="C20" s="12" t="s">
        <v>357</v>
      </c>
      <c r="D20" s="12"/>
      <c r="E20" s="12"/>
      <c r="F20" s="27">
        <v>71762.38</v>
      </c>
    </row>
    <row r="21" spans="1:6" x14ac:dyDescent="0.2">
      <c r="A21" s="12"/>
      <c r="B21" s="12"/>
      <c r="C21" s="12" t="s">
        <v>358</v>
      </c>
      <c r="D21" s="12"/>
      <c r="E21" s="12"/>
      <c r="F21" s="27">
        <v>993000</v>
      </c>
    </row>
    <row r="22" spans="1:6" x14ac:dyDescent="0.2">
      <c r="A22" s="12"/>
      <c r="B22" s="12"/>
      <c r="C22" s="12" t="s">
        <v>359</v>
      </c>
      <c r="D22" s="12"/>
      <c r="E22" s="12"/>
      <c r="F22" s="27">
        <v>22740.47</v>
      </c>
    </row>
    <row r="23" spans="1:6" x14ac:dyDescent="0.2">
      <c r="A23" s="12"/>
      <c r="B23" s="12"/>
      <c r="C23" s="12" t="s">
        <v>360</v>
      </c>
      <c r="D23" s="12"/>
      <c r="E23" s="12"/>
      <c r="F23" s="27">
        <v>144153.57999999999</v>
      </c>
    </row>
    <row r="24" spans="1:6" x14ac:dyDescent="0.2">
      <c r="A24" s="12"/>
      <c r="B24" s="12"/>
      <c r="C24" s="12" t="s">
        <v>361</v>
      </c>
      <c r="D24" s="12"/>
      <c r="E24" s="12"/>
      <c r="F24" s="27">
        <v>1095847.6499999999</v>
      </c>
    </row>
    <row r="25" spans="1:6" x14ac:dyDescent="0.2">
      <c r="A25" s="12"/>
      <c r="B25" s="12"/>
      <c r="C25" s="12" t="s">
        <v>362</v>
      </c>
      <c r="D25" s="12"/>
      <c r="E25" s="12"/>
      <c r="F25" s="27">
        <v>16428</v>
      </c>
    </row>
    <row r="26" spans="1:6" x14ac:dyDescent="0.2">
      <c r="A26" s="12"/>
      <c r="B26" s="12"/>
      <c r="C26" s="12" t="s">
        <v>363</v>
      </c>
      <c r="D26" s="12"/>
      <c r="E26" s="12"/>
      <c r="F26" s="27">
        <v>17892.39</v>
      </c>
    </row>
    <row r="27" spans="1:6" x14ac:dyDescent="0.2">
      <c r="A27" s="12"/>
      <c r="B27" s="12"/>
      <c r="C27" s="12" t="s">
        <v>364</v>
      </c>
      <c r="D27" s="12"/>
      <c r="E27" s="12"/>
      <c r="F27" s="27">
        <v>107880.06</v>
      </c>
    </row>
    <row r="28" spans="1:6" x14ac:dyDescent="0.2">
      <c r="A28" s="12"/>
      <c r="B28" s="12"/>
      <c r="C28" s="12" t="s">
        <v>365</v>
      </c>
      <c r="D28" s="12"/>
      <c r="E28" s="12"/>
      <c r="F28" s="27">
        <v>6029.69</v>
      </c>
    </row>
    <row r="29" spans="1:6" x14ac:dyDescent="0.2">
      <c r="A29" s="12"/>
      <c r="B29" s="12"/>
      <c r="C29" s="12" t="s">
        <v>366</v>
      </c>
      <c r="D29" s="12"/>
      <c r="E29" s="12"/>
      <c r="F29" s="27">
        <v>62029.53</v>
      </c>
    </row>
    <row r="30" spans="1:6" x14ac:dyDescent="0.2">
      <c r="A30" s="12"/>
      <c r="B30" s="12"/>
      <c r="C30" s="12" t="s">
        <v>367</v>
      </c>
      <c r="D30" s="12"/>
      <c r="E30" s="12"/>
      <c r="F30" s="27">
        <v>186350.3</v>
      </c>
    </row>
    <row r="31" spans="1:6" x14ac:dyDescent="0.2">
      <c r="A31" s="12"/>
      <c r="B31" s="12"/>
      <c r="C31" s="12" t="s">
        <v>368</v>
      </c>
      <c r="D31" s="12"/>
      <c r="E31" s="12"/>
      <c r="F31" s="27">
        <v>4474</v>
      </c>
    </row>
    <row r="32" spans="1:6" x14ac:dyDescent="0.2">
      <c r="A32" s="12"/>
      <c r="B32" s="12"/>
      <c r="C32" s="12" t="s">
        <v>369</v>
      </c>
      <c r="D32" s="12"/>
      <c r="E32" s="12"/>
      <c r="F32" s="27">
        <v>28196.71</v>
      </c>
    </row>
    <row r="33" spans="1:7" x14ac:dyDescent="0.2">
      <c r="A33" s="12"/>
      <c r="B33" s="12"/>
      <c r="C33" s="12" t="s">
        <v>370</v>
      </c>
      <c r="D33" s="12"/>
      <c r="E33" s="12"/>
      <c r="F33" s="27">
        <v>188141.96</v>
      </c>
    </row>
    <row r="34" spans="1:7" ht="13.5" thickBot="1" x14ac:dyDescent="0.25">
      <c r="A34" s="12"/>
      <c r="B34" s="12"/>
      <c r="C34" s="12" t="s">
        <v>371</v>
      </c>
      <c r="D34" s="12"/>
      <c r="E34" s="12"/>
      <c r="F34" s="30">
        <v>-2422939.66</v>
      </c>
    </row>
    <row r="35" spans="1:7" x14ac:dyDescent="0.2">
      <c r="A35" s="12"/>
      <c r="B35" s="12" t="s">
        <v>372</v>
      </c>
      <c r="C35" s="12"/>
      <c r="D35" s="12"/>
      <c r="E35" s="12"/>
      <c r="F35" s="27">
        <f>ROUND(SUM(F10:F34),5)</f>
        <v>1519758.94</v>
      </c>
    </row>
    <row r="36" spans="1:7" x14ac:dyDescent="0.2">
      <c r="A36" s="12"/>
      <c r="B36" s="12" t="s">
        <v>219</v>
      </c>
      <c r="C36" s="12"/>
      <c r="D36" s="12"/>
      <c r="E36" s="12"/>
      <c r="F36" s="27"/>
    </row>
    <row r="37" spans="1:7" x14ac:dyDescent="0.2">
      <c r="A37" s="12"/>
      <c r="B37" s="12"/>
      <c r="C37" s="12" t="s">
        <v>402</v>
      </c>
      <c r="D37" s="12"/>
      <c r="E37" s="12"/>
      <c r="F37" s="27">
        <v>0</v>
      </c>
    </row>
    <row r="38" spans="1:7" ht="13.5" thickBot="1" x14ac:dyDescent="0.25">
      <c r="A38" s="12"/>
      <c r="B38" s="12"/>
      <c r="C38" s="12" t="s">
        <v>373</v>
      </c>
      <c r="D38" s="12"/>
      <c r="E38" s="12"/>
      <c r="F38" s="28">
        <v>1546</v>
      </c>
    </row>
    <row r="39" spans="1:7" ht="13.5" thickBot="1" x14ac:dyDescent="0.25">
      <c r="A39" s="12"/>
      <c r="B39" s="12" t="s">
        <v>374</v>
      </c>
      <c r="C39" s="12"/>
      <c r="D39" s="12"/>
      <c r="E39" s="12"/>
      <c r="F39" s="31">
        <f>ROUND(SUM(F36:F38),5)</f>
        <v>1546</v>
      </c>
    </row>
    <row r="40" spans="1:7" ht="13.5" thickBot="1" x14ac:dyDescent="0.25">
      <c r="A40" s="18" t="s">
        <v>375</v>
      </c>
      <c r="B40" s="18"/>
      <c r="C40" s="18"/>
      <c r="D40" s="18"/>
      <c r="E40" s="18"/>
      <c r="F40" s="32">
        <f>ROUND(F2+F9+F35+F39,5)</f>
        <v>2022212.17</v>
      </c>
      <c r="G40" s="20"/>
    </row>
    <row r="41" spans="1:7" ht="13.5" thickTop="1" x14ac:dyDescent="0.2">
      <c r="A41" s="12" t="s">
        <v>376</v>
      </c>
      <c r="B41" s="12"/>
      <c r="C41" s="12"/>
      <c r="D41" s="12"/>
      <c r="E41" s="12"/>
      <c r="F41" s="27"/>
    </row>
    <row r="42" spans="1:7" x14ac:dyDescent="0.2">
      <c r="A42" s="12"/>
      <c r="B42" s="12" t="s">
        <v>105</v>
      </c>
      <c r="C42" s="12"/>
      <c r="D42" s="12"/>
      <c r="E42" s="12"/>
      <c r="F42" s="27"/>
    </row>
    <row r="43" spans="1:7" x14ac:dyDescent="0.2">
      <c r="A43" s="12"/>
      <c r="B43" s="12"/>
      <c r="C43" s="12" t="s">
        <v>106</v>
      </c>
      <c r="D43" s="12"/>
      <c r="E43" s="12"/>
      <c r="F43" s="27"/>
    </row>
    <row r="44" spans="1:7" x14ac:dyDescent="0.2">
      <c r="A44" s="12"/>
      <c r="B44" s="12"/>
      <c r="C44" s="12"/>
      <c r="D44" s="12" t="s">
        <v>377</v>
      </c>
      <c r="E44" s="12"/>
      <c r="F44" s="27"/>
    </row>
    <row r="45" spans="1:7" x14ac:dyDescent="0.2">
      <c r="A45" s="12"/>
      <c r="B45" s="12"/>
      <c r="C45" s="12"/>
      <c r="D45" s="12"/>
      <c r="E45" s="12" t="s">
        <v>378</v>
      </c>
      <c r="F45" s="27">
        <v>0</v>
      </c>
    </row>
    <row r="46" spans="1:7" x14ac:dyDescent="0.2">
      <c r="A46" s="12"/>
      <c r="B46" s="12"/>
      <c r="C46" s="12"/>
      <c r="D46" s="12"/>
      <c r="E46" s="12" t="s">
        <v>379</v>
      </c>
      <c r="F46" s="27">
        <v>4750</v>
      </c>
    </row>
    <row r="47" spans="1:7" x14ac:dyDescent="0.2">
      <c r="A47" s="12"/>
      <c r="B47" s="12"/>
      <c r="C47" s="12"/>
      <c r="D47" s="12"/>
      <c r="E47" s="12" t="s">
        <v>380</v>
      </c>
      <c r="F47" s="27">
        <v>0</v>
      </c>
    </row>
    <row r="48" spans="1:7" x14ac:dyDescent="0.2">
      <c r="A48" s="12"/>
      <c r="B48" s="12"/>
      <c r="C48" s="12"/>
      <c r="D48" s="12"/>
      <c r="E48" s="12" t="s">
        <v>381</v>
      </c>
      <c r="F48" s="27">
        <v>336.86</v>
      </c>
    </row>
    <row r="49" spans="1:6" x14ac:dyDescent="0.2">
      <c r="A49" s="12"/>
      <c r="B49" s="12"/>
      <c r="C49" s="12"/>
      <c r="D49" s="12"/>
      <c r="E49" s="12" t="s">
        <v>382</v>
      </c>
      <c r="F49" s="27">
        <v>1375</v>
      </c>
    </row>
    <row r="50" spans="1:6" x14ac:dyDescent="0.2">
      <c r="A50" s="12"/>
      <c r="B50" s="12"/>
      <c r="C50" s="12"/>
      <c r="D50" s="12"/>
      <c r="E50" s="12" t="s">
        <v>537</v>
      </c>
      <c r="F50" s="27">
        <v>8298.39</v>
      </c>
    </row>
    <row r="51" spans="1:6" x14ac:dyDescent="0.2">
      <c r="A51" s="12"/>
      <c r="B51" s="12"/>
      <c r="C51" s="12"/>
      <c r="D51" s="12"/>
      <c r="E51" s="12" t="s">
        <v>383</v>
      </c>
      <c r="F51" s="27">
        <v>1425.3</v>
      </c>
    </row>
    <row r="52" spans="1:6" x14ac:dyDescent="0.2">
      <c r="A52" s="12"/>
      <c r="B52" s="12"/>
      <c r="C52" s="12"/>
      <c r="D52" s="12"/>
      <c r="E52" s="12" t="s">
        <v>384</v>
      </c>
      <c r="F52" s="27">
        <v>914648.06</v>
      </c>
    </row>
    <row r="53" spans="1:6" x14ac:dyDescent="0.2">
      <c r="A53" s="12"/>
      <c r="B53" s="12"/>
      <c r="C53" s="12"/>
      <c r="D53" s="12"/>
      <c r="E53" s="12" t="s">
        <v>385</v>
      </c>
      <c r="F53" s="27">
        <v>23117.08</v>
      </c>
    </row>
    <row r="54" spans="1:6" ht="13.5" thickBot="1" x14ac:dyDescent="0.25">
      <c r="A54" s="12"/>
      <c r="B54" s="12"/>
      <c r="C54" s="12"/>
      <c r="D54" s="12"/>
      <c r="E54" s="12" t="s">
        <v>386</v>
      </c>
      <c r="F54" s="28">
        <v>11733.36</v>
      </c>
    </row>
    <row r="55" spans="1:6" ht="13.5" thickBot="1" x14ac:dyDescent="0.25">
      <c r="A55" s="12"/>
      <c r="B55" s="12"/>
      <c r="C55" s="12"/>
      <c r="D55" s="12" t="s">
        <v>387</v>
      </c>
      <c r="E55" s="12"/>
      <c r="F55" s="29">
        <f>ROUND(SUM(F44:F54),5)</f>
        <v>965684.05</v>
      </c>
    </row>
    <row r="56" spans="1:6" x14ac:dyDescent="0.2">
      <c r="A56" s="12"/>
      <c r="B56" s="12"/>
      <c r="C56" s="12" t="s">
        <v>388</v>
      </c>
      <c r="D56" s="12"/>
      <c r="E56" s="12"/>
      <c r="F56" s="27">
        <f>ROUND(F43+F55,5)</f>
        <v>965684.05</v>
      </c>
    </row>
    <row r="57" spans="1:6" x14ac:dyDescent="0.2">
      <c r="A57" s="12"/>
      <c r="B57" s="12"/>
      <c r="C57" s="12" t="s">
        <v>150</v>
      </c>
      <c r="D57" s="12"/>
      <c r="E57" s="12"/>
      <c r="F57" s="27"/>
    </row>
    <row r="58" spans="1:6" x14ac:dyDescent="0.2">
      <c r="A58" s="12"/>
      <c r="B58" s="12"/>
      <c r="C58" s="12"/>
      <c r="D58" s="12" t="s">
        <v>389</v>
      </c>
      <c r="E58" s="12"/>
      <c r="F58" s="27">
        <v>1038675.03</v>
      </c>
    </row>
    <row r="59" spans="1:6" ht="13.5" thickBot="1" x14ac:dyDescent="0.25">
      <c r="A59" s="12"/>
      <c r="B59" s="12"/>
      <c r="C59" s="12"/>
      <c r="D59" s="12" t="s">
        <v>390</v>
      </c>
      <c r="E59" s="12"/>
      <c r="F59" s="28">
        <v>1248741.29</v>
      </c>
    </row>
    <row r="60" spans="1:6" ht="13.5" thickBot="1" x14ac:dyDescent="0.25">
      <c r="A60" s="12"/>
      <c r="B60" s="12"/>
      <c r="C60" s="12" t="s">
        <v>323</v>
      </c>
      <c r="D60" s="12"/>
      <c r="E60" s="12"/>
      <c r="F60" s="29">
        <f>ROUND(SUM(F57:F59),5)</f>
        <v>2287416.3199999998</v>
      </c>
    </row>
    <row r="61" spans="1:6" x14ac:dyDescent="0.2">
      <c r="A61" s="12"/>
      <c r="B61" s="12" t="s">
        <v>324</v>
      </c>
      <c r="C61" s="12"/>
      <c r="D61" s="12"/>
      <c r="E61" s="12"/>
      <c r="F61" s="27">
        <f>ROUND(F42+F56+F60,5)</f>
        <v>3253100.37</v>
      </c>
    </row>
    <row r="62" spans="1:6" x14ac:dyDescent="0.2">
      <c r="A62" s="12"/>
      <c r="B62" s="12" t="s">
        <v>161</v>
      </c>
      <c r="C62" s="12"/>
      <c r="D62" s="12"/>
      <c r="E62" s="12"/>
      <c r="F62" s="27"/>
    </row>
    <row r="63" spans="1:6" x14ac:dyDescent="0.2">
      <c r="A63" s="12"/>
      <c r="B63" s="12"/>
      <c r="C63" s="12" t="s">
        <v>391</v>
      </c>
      <c r="D63" s="12"/>
      <c r="E63" s="12"/>
      <c r="F63" s="27">
        <v>25000.03</v>
      </c>
    </row>
    <row r="64" spans="1:6" x14ac:dyDescent="0.2">
      <c r="A64" s="12"/>
      <c r="B64" s="12"/>
      <c r="C64" s="12" t="s">
        <v>392</v>
      </c>
      <c r="D64" s="12"/>
      <c r="E64" s="12"/>
      <c r="F64" s="27">
        <v>-1161233.3</v>
      </c>
    </row>
    <row r="65" spans="1:7" ht="13.5" thickBot="1" x14ac:dyDescent="0.25">
      <c r="A65" s="12"/>
      <c r="B65" s="12"/>
      <c r="C65" s="12" t="s">
        <v>393</v>
      </c>
      <c r="D65" s="12"/>
      <c r="E65" s="12"/>
      <c r="F65" s="28">
        <v>-94654.93</v>
      </c>
    </row>
    <row r="66" spans="1:7" ht="13.5" thickBot="1" x14ac:dyDescent="0.25">
      <c r="A66" s="12"/>
      <c r="B66" s="12" t="s">
        <v>335</v>
      </c>
      <c r="C66" s="12"/>
      <c r="D66" s="12"/>
      <c r="E66" s="12"/>
      <c r="F66" s="31">
        <f>ROUND(SUM(F62:F65),5)</f>
        <v>-1230888.2</v>
      </c>
    </row>
    <row r="67" spans="1:7" ht="13.5" thickBot="1" x14ac:dyDescent="0.25">
      <c r="A67" s="18" t="s">
        <v>394</v>
      </c>
      <c r="B67" s="18"/>
      <c r="C67" s="18"/>
      <c r="D67" s="18"/>
      <c r="E67" s="18"/>
      <c r="F67" s="32">
        <f>ROUND(F41+F61+F66,5)</f>
        <v>2022212.17</v>
      </c>
      <c r="G67" s="20"/>
    </row>
    <row r="68" spans="1:7" ht="13.5" thickTop="1" x14ac:dyDescent="0.2"/>
    <row r="69" spans="1:7" x14ac:dyDescent="0.2">
      <c r="E69" s="25" t="s">
        <v>398</v>
      </c>
      <c r="F69" s="34">
        <f>F40-F67</f>
        <v>0</v>
      </c>
    </row>
  </sheetData>
  <mergeCells count="1">
    <mergeCell ref="H4:I10"/>
  </mergeCells>
  <pageMargins left="0.7" right="0.7" top="0.75" bottom="0.75" header="0.3" footer="0.3"/>
  <pageSetup orientation="portrait" r:id="rId1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S108"/>
  <sheetViews>
    <sheetView topLeftCell="A52" workbookViewId="0">
      <selection activeCell="L94" sqref="L94"/>
    </sheetView>
  </sheetViews>
  <sheetFormatPr defaultRowHeight="12.75" x14ac:dyDescent="0.2"/>
  <cols>
    <col min="5" max="5" width="31.140625" bestFit="1" customWidth="1"/>
    <col min="6" max="6" width="10.85546875" bestFit="1" customWidth="1"/>
  </cols>
  <sheetData>
    <row r="1" spans="1:19" x14ac:dyDescent="0.2">
      <c r="A1" s="100"/>
      <c r="B1" s="100"/>
      <c r="C1" s="100"/>
      <c r="D1" s="100"/>
      <c r="E1" s="100"/>
      <c r="F1" s="22"/>
    </row>
    <row r="2" spans="1:19" x14ac:dyDescent="0.2">
      <c r="A2" s="100"/>
      <c r="B2" s="185" t="s">
        <v>413</v>
      </c>
      <c r="C2" s="185"/>
      <c r="D2" s="185"/>
      <c r="E2" s="185"/>
      <c r="F2" s="185"/>
    </row>
    <row r="3" spans="1:19" x14ac:dyDescent="0.2">
      <c r="A3" s="100"/>
      <c r="B3" s="185"/>
      <c r="C3" s="185"/>
      <c r="D3" s="185"/>
      <c r="E3" s="185"/>
      <c r="F3" s="185"/>
    </row>
    <row r="4" spans="1:19" x14ac:dyDescent="0.2">
      <c r="A4" s="100"/>
      <c r="B4" s="100"/>
      <c r="C4" s="100"/>
      <c r="D4" s="100"/>
      <c r="E4" s="100"/>
      <c r="F4" s="22"/>
    </row>
    <row r="5" spans="1:19" ht="13.5" thickBot="1" x14ac:dyDescent="0.25">
      <c r="A5" s="101"/>
      <c r="B5" s="101"/>
      <c r="C5" s="101"/>
      <c r="D5" s="101"/>
      <c r="E5" s="101"/>
      <c r="F5" s="102" t="s">
        <v>588</v>
      </c>
    </row>
    <row r="6" spans="1:19" ht="13.5" thickTop="1" x14ac:dyDescent="0.2">
      <c r="A6" s="18" t="s">
        <v>341</v>
      </c>
      <c r="B6" s="18"/>
      <c r="C6" s="18"/>
      <c r="D6" s="18"/>
      <c r="E6" s="18"/>
      <c r="F6" s="13"/>
    </row>
    <row r="7" spans="1:19" x14ac:dyDescent="0.2">
      <c r="A7" s="18"/>
      <c r="B7" s="18" t="s">
        <v>3</v>
      </c>
      <c r="C7" s="18"/>
      <c r="D7" s="18"/>
      <c r="E7" s="18"/>
      <c r="F7" s="13"/>
    </row>
    <row r="8" spans="1:19" x14ac:dyDescent="0.2">
      <c r="A8" s="18"/>
      <c r="B8" s="18"/>
      <c r="C8" s="18" t="s">
        <v>342</v>
      </c>
      <c r="D8" s="18"/>
      <c r="E8" s="18"/>
      <c r="F8" s="13"/>
    </row>
    <row r="9" spans="1:19" ht="13.5" thickBot="1" x14ac:dyDescent="0.25">
      <c r="A9" s="18"/>
      <c r="B9" s="18"/>
      <c r="C9" s="18"/>
      <c r="D9" s="18" t="s">
        <v>414</v>
      </c>
      <c r="E9" s="18"/>
      <c r="F9" s="103">
        <v>228092.27</v>
      </c>
      <c r="S9">
        <v>0</v>
      </c>
    </row>
    <row r="10" spans="1:19" x14ac:dyDescent="0.2">
      <c r="A10" s="18"/>
      <c r="B10" s="18"/>
      <c r="C10" s="18" t="s">
        <v>346</v>
      </c>
      <c r="D10" s="18"/>
      <c r="E10" s="18"/>
      <c r="F10" s="13">
        <f>ROUND(SUM(F8:F9),5)</f>
        <v>228092.27</v>
      </c>
      <c r="S10">
        <v>0</v>
      </c>
    </row>
    <row r="11" spans="1:19" x14ac:dyDescent="0.2">
      <c r="A11" s="18"/>
      <c r="B11" s="18"/>
      <c r="C11" s="18" t="s">
        <v>415</v>
      </c>
      <c r="D11" s="18"/>
      <c r="E11" s="18"/>
      <c r="F11" s="13"/>
    </row>
    <row r="12" spans="1:19" x14ac:dyDescent="0.2">
      <c r="A12" s="18"/>
      <c r="B12" s="18"/>
      <c r="C12" s="18"/>
      <c r="D12" s="18" t="s">
        <v>417</v>
      </c>
      <c r="E12" s="18"/>
      <c r="F12" s="13">
        <v>1271858.3500000001</v>
      </c>
    </row>
    <row r="13" spans="1:19" x14ac:dyDescent="0.2">
      <c r="A13" s="18"/>
      <c r="B13" s="18"/>
      <c r="C13" s="18"/>
      <c r="D13" s="18" t="s">
        <v>576</v>
      </c>
      <c r="E13" s="18"/>
      <c r="F13" s="13">
        <v>31725</v>
      </c>
    </row>
    <row r="14" spans="1:19" x14ac:dyDescent="0.2">
      <c r="A14" s="18"/>
      <c r="B14" s="18"/>
      <c r="C14" s="18"/>
      <c r="D14" s="18" t="s">
        <v>583</v>
      </c>
      <c r="E14" s="18"/>
      <c r="F14" s="13">
        <v>50000</v>
      </c>
    </row>
    <row r="15" spans="1:19" ht="13.5" thickBot="1" x14ac:dyDescent="0.25">
      <c r="A15" s="18"/>
      <c r="B15" s="18"/>
      <c r="C15" s="18"/>
      <c r="D15" s="18" t="s">
        <v>418</v>
      </c>
      <c r="E15" s="18"/>
      <c r="F15" s="15">
        <v>250638.89</v>
      </c>
    </row>
    <row r="16" spans="1:19" ht="13.5" thickBot="1" x14ac:dyDescent="0.25">
      <c r="A16" s="18"/>
      <c r="B16" s="18"/>
      <c r="C16" s="18" t="s">
        <v>419</v>
      </c>
      <c r="D16" s="18"/>
      <c r="E16" s="18"/>
      <c r="F16" s="16">
        <f>ROUND(SUM(F11:F15),5)</f>
        <v>1604222.24</v>
      </c>
    </row>
    <row r="17" spans="1:6" x14ac:dyDescent="0.2">
      <c r="A17" s="18"/>
      <c r="B17" s="18" t="s">
        <v>277</v>
      </c>
      <c r="C17" s="18"/>
      <c r="D17" s="18"/>
      <c r="E17" s="18"/>
      <c r="F17" s="13">
        <f>ROUND(F7+F10+F16,5)</f>
        <v>1832314.51</v>
      </c>
    </row>
    <row r="18" spans="1:6" x14ac:dyDescent="0.2">
      <c r="A18" s="18"/>
      <c r="B18" s="18" t="s">
        <v>347</v>
      </c>
      <c r="C18" s="18"/>
      <c r="D18" s="18"/>
      <c r="E18" s="18"/>
      <c r="F18" s="13"/>
    </row>
    <row r="19" spans="1:6" x14ac:dyDescent="0.2">
      <c r="A19" s="18"/>
      <c r="B19" s="18"/>
      <c r="C19" s="18" t="s">
        <v>420</v>
      </c>
      <c r="D19" s="18"/>
      <c r="E19" s="18"/>
      <c r="F19" s="13">
        <v>9453</v>
      </c>
    </row>
    <row r="20" spans="1:6" x14ac:dyDescent="0.2">
      <c r="A20" s="18"/>
      <c r="B20" s="18"/>
      <c r="C20" s="18" t="s">
        <v>421</v>
      </c>
      <c r="D20" s="18"/>
      <c r="E20" s="18"/>
      <c r="F20" s="13">
        <v>8820</v>
      </c>
    </row>
    <row r="21" spans="1:6" x14ac:dyDescent="0.2">
      <c r="A21" s="18"/>
      <c r="B21" s="18"/>
      <c r="C21" s="18" t="s">
        <v>422</v>
      </c>
      <c r="D21" s="18"/>
      <c r="E21" s="18"/>
      <c r="F21" s="13">
        <v>600963.01</v>
      </c>
    </row>
    <row r="22" spans="1:6" x14ac:dyDescent="0.2">
      <c r="A22" s="18"/>
      <c r="B22" s="18"/>
      <c r="C22" s="18" t="s">
        <v>423</v>
      </c>
      <c r="D22" s="18"/>
      <c r="E22" s="18"/>
      <c r="F22" s="13">
        <v>-1427483.38</v>
      </c>
    </row>
    <row r="23" spans="1:6" x14ac:dyDescent="0.2">
      <c r="A23" s="18"/>
      <c r="B23" s="18"/>
      <c r="C23" s="18" t="s">
        <v>425</v>
      </c>
      <c r="D23" s="18"/>
      <c r="E23" s="18"/>
      <c r="F23" s="13">
        <v>158820</v>
      </c>
    </row>
    <row r="24" spans="1:6" ht="13.5" thickBot="1" x14ac:dyDescent="0.25">
      <c r="A24" s="18"/>
      <c r="B24" s="18"/>
      <c r="C24" s="18" t="s">
        <v>426</v>
      </c>
      <c r="D24" s="18"/>
      <c r="E24" s="18"/>
      <c r="F24" s="103">
        <v>950000</v>
      </c>
    </row>
    <row r="25" spans="1:6" x14ac:dyDescent="0.2">
      <c r="A25" s="18"/>
      <c r="B25" s="18" t="s">
        <v>372</v>
      </c>
      <c r="C25" s="18"/>
      <c r="D25" s="18"/>
      <c r="E25" s="18"/>
      <c r="F25" s="13">
        <f>ROUND(SUM(F18:F24),5)</f>
        <v>300572.63</v>
      </c>
    </row>
    <row r="26" spans="1:6" x14ac:dyDescent="0.2">
      <c r="A26" s="18"/>
      <c r="B26" s="18" t="s">
        <v>219</v>
      </c>
      <c r="C26" s="18"/>
      <c r="D26" s="18"/>
      <c r="E26" s="18"/>
      <c r="F26" s="13"/>
    </row>
    <row r="27" spans="1:6" x14ac:dyDescent="0.2">
      <c r="A27" s="18"/>
      <c r="B27" s="18"/>
      <c r="C27" s="18" t="s">
        <v>428</v>
      </c>
      <c r="D27" s="18"/>
      <c r="E27" s="18"/>
      <c r="F27" s="13"/>
    </row>
    <row r="28" spans="1:6" x14ac:dyDescent="0.2">
      <c r="A28" s="18"/>
      <c r="B28" s="18"/>
      <c r="C28" s="18"/>
      <c r="D28" s="18" t="s">
        <v>429</v>
      </c>
      <c r="E28" s="18"/>
      <c r="F28" s="13">
        <v>201952.97</v>
      </c>
    </row>
    <row r="29" spans="1:6" x14ac:dyDescent="0.2">
      <c r="A29" s="18"/>
      <c r="B29" s="18"/>
      <c r="C29" s="18"/>
      <c r="D29" s="18" t="s">
        <v>430</v>
      </c>
      <c r="E29" s="18"/>
      <c r="F29" s="13">
        <v>36739.96</v>
      </c>
    </row>
    <row r="30" spans="1:6" x14ac:dyDescent="0.2">
      <c r="A30" s="18"/>
      <c r="B30" s="18"/>
      <c r="C30" s="18"/>
      <c r="D30" s="18" t="s">
        <v>431</v>
      </c>
      <c r="E30" s="18"/>
      <c r="F30" s="13">
        <v>204583.12</v>
      </c>
    </row>
    <row r="31" spans="1:6" x14ac:dyDescent="0.2">
      <c r="A31" s="18"/>
      <c r="B31" s="18"/>
      <c r="C31" s="18"/>
      <c r="D31" s="18" t="s">
        <v>432</v>
      </c>
      <c r="E31" s="18"/>
      <c r="F31" s="13">
        <v>160786.65</v>
      </c>
    </row>
    <row r="32" spans="1:6" x14ac:dyDescent="0.2">
      <c r="A32" s="18"/>
      <c r="B32" s="18"/>
      <c r="C32" s="18"/>
      <c r="D32" s="18" t="s">
        <v>433</v>
      </c>
      <c r="E32" s="18"/>
      <c r="F32" s="13">
        <v>469887.67</v>
      </c>
    </row>
    <row r="33" spans="1:6" x14ac:dyDescent="0.2">
      <c r="A33" s="18"/>
      <c r="B33" s="18"/>
      <c r="C33" s="18"/>
      <c r="D33" s="18" t="s">
        <v>434</v>
      </c>
      <c r="E33" s="18"/>
      <c r="F33" s="13">
        <v>142493.89000000001</v>
      </c>
    </row>
    <row r="34" spans="1:6" x14ac:dyDescent="0.2">
      <c r="A34" s="18"/>
      <c r="B34" s="18"/>
      <c r="C34" s="18"/>
      <c r="D34" s="18" t="s">
        <v>435</v>
      </c>
      <c r="E34" s="18"/>
      <c r="F34" s="13">
        <v>7801.94</v>
      </c>
    </row>
    <row r="35" spans="1:6" x14ac:dyDescent="0.2">
      <c r="A35" s="18"/>
      <c r="B35" s="18"/>
      <c r="C35" s="18"/>
      <c r="D35" s="18" t="s">
        <v>436</v>
      </c>
      <c r="E35" s="18"/>
      <c r="F35" s="13">
        <v>71525.64</v>
      </c>
    </row>
    <row r="36" spans="1:6" x14ac:dyDescent="0.2">
      <c r="A36" s="18"/>
      <c r="B36" s="18"/>
      <c r="C36" s="18"/>
      <c r="D36" s="18" t="s">
        <v>437</v>
      </c>
      <c r="E36" s="18"/>
      <c r="F36" s="13">
        <v>103280.98</v>
      </c>
    </row>
    <row r="37" spans="1:6" x14ac:dyDescent="0.2">
      <c r="A37" s="18"/>
      <c r="B37" s="18"/>
      <c r="C37" s="18"/>
      <c r="D37" s="18" t="s">
        <v>438</v>
      </c>
      <c r="E37" s="18"/>
      <c r="F37" s="13">
        <v>83943.52</v>
      </c>
    </row>
    <row r="38" spans="1:6" x14ac:dyDescent="0.2">
      <c r="A38" s="18"/>
      <c r="B38" s="18"/>
      <c r="C38" s="18"/>
      <c r="D38" s="18" t="s">
        <v>439</v>
      </c>
      <c r="E38" s="18"/>
      <c r="F38" s="13">
        <v>58496.39</v>
      </c>
    </row>
    <row r="39" spans="1:6" x14ac:dyDescent="0.2">
      <c r="A39" s="18"/>
      <c r="B39" s="18"/>
      <c r="C39" s="18"/>
      <c r="D39" s="18" t="s">
        <v>440</v>
      </c>
      <c r="E39" s="18"/>
      <c r="F39" s="13">
        <v>145647.73000000001</v>
      </c>
    </row>
    <row r="40" spans="1:6" x14ac:dyDescent="0.2">
      <c r="A40" s="18"/>
      <c r="B40" s="18"/>
      <c r="C40" s="18"/>
      <c r="D40" s="18" t="s">
        <v>441</v>
      </c>
      <c r="E40" s="18"/>
      <c r="F40" s="13">
        <v>81424.679999999993</v>
      </c>
    </row>
    <row r="41" spans="1:6" x14ac:dyDescent="0.2">
      <c r="A41" s="18"/>
      <c r="B41" s="18"/>
      <c r="C41" s="18"/>
      <c r="D41" s="18" t="s">
        <v>442</v>
      </c>
      <c r="E41" s="18"/>
      <c r="F41" s="13">
        <v>248197.36</v>
      </c>
    </row>
    <row r="42" spans="1:6" x14ac:dyDescent="0.2">
      <c r="A42" s="18"/>
      <c r="B42" s="18"/>
      <c r="C42" s="18"/>
      <c r="D42" s="18" t="s">
        <v>443</v>
      </c>
      <c r="E42" s="18"/>
      <c r="F42" s="13">
        <v>169409.85</v>
      </c>
    </row>
    <row r="43" spans="1:6" x14ac:dyDescent="0.2">
      <c r="A43" s="18"/>
      <c r="B43" s="18"/>
      <c r="C43" s="18"/>
      <c r="D43" s="18" t="s">
        <v>444</v>
      </c>
      <c r="E43" s="18"/>
      <c r="F43" s="13">
        <v>120783.21</v>
      </c>
    </row>
    <row r="44" spans="1:6" x14ac:dyDescent="0.2">
      <c r="A44" s="18"/>
      <c r="B44" s="18"/>
      <c r="C44" s="18"/>
      <c r="D44" s="18" t="s">
        <v>445</v>
      </c>
      <c r="E44" s="18"/>
      <c r="F44" s="13">
        <v>33508.339999999997</v>
      </c>
    </row>
    <row r="45" spans="1:6" x14ac:dyDescent="0.2">
      <c r="A45" s="18"/>
      <c r="B45" s="18"/>
      <c r="C45" s="18"/>
      <c r="D45" s="18" t="s">
        <v>446</v>
      </c>
      <c r="E45" s="18"/>
      <c r="F45" s="13">
        <v>5233</v>
      </c>
    </row>
    <row r="46" spans="1:6" x14ac:dyDescent="0.2">
      <c r="A46" s="18"/>
      <c r="B46" s="18"/>
      <c r="C46" s="18"/>
      <c r="D46" s="18" t="s">
        <v>447</v>
      </c>
      <c r="E46" s="18"/>
      <c r="F46" s="13">
        <v>1720.66</v>
      </c>
    </row>
    <row r="47" spans="1:6" x14ac:dyDescent="0.2">
      <c r="A47" s="18"/>
      <c r="B47" s="18"/>
      <c r="C47" s="18"/>
      <c r="D47" s="18" t="s">
        <v>448</v>
      </c>
      <c r="E47" s="18"/>
      <c r="F47" s="13">
        <v>201770.28</v>
      </c>
    </row>
    <row r="48" spans="1:6" x14ac:dyDescent="0.2">
      <c r="A48" s="18"/>
      <c r="B48" s="18"/>
      <c r="C48" s="18"/>
      <c r="D48" s="18" t="s">
        <v>449</v>
      </c>
      <c r="E48" s="18"/>
      <c r="F48" s="13">
        <v>120197.47</v>
      </c>
    </row>
    <row r="49" spans="1:6" x14ac:dyDescent="0.2">
      <c r="A49" s="18"/>
      <c r="B49" s="18"/>
      <c r="C49" s="18"/>
      <c r="D49" s="18" t="s">
        <v>450</v>
      </c>
      <c r="E49" s="18"/>
      <c r="F49" s="13">
        <v>113478.17</v>
      </c>
    </row>
    <row r="50" spans="1:6" x14ac:dyDescent="0.2">
      <c r="A50" s="18"/>
      <c r="B50" s="18"/>
      <c r="C50" s="18"/>
      <c r="D50" s="18" t="s">
        <v>451</v>
      </c>
      <c r="E50" s="18"/>
      <c r="F50" s="13">
        <v>13985.85</v>
      </c>
    </row>
    <row r="51" spans="1:6" x14ac:dyDescent="0.2">
      <c r="A51" s="18"/>
      <c r="B51" s="18"/>
      <c r="C51" s="18"/>
      <c r="D51" s="18" t="s">
        <v>452</v>
      </c>
      <c r="E51" s="18"/>
      <c r="F51" s="13">
        <v>10153.42</v>
      </c>
    </row>
    <row r="52" spans="1:6" ht="13.5" thickBot="1" x14ac:dyDescent="0.25">
      <c r="A52" s="18"/>
      <c r="B52" s="18"/>
      <c r="C52" s="18"/>
      <c r="D52" s="18" t="s">
        <v>453</v>
      </c>
      <c r="E52" s="18"/>
      <c r="F52" s="15">
        <v>275583.8</v>
      </c>
    </row>
    <row r="53" spans="1:6" ht="13.5" thickBot="1" x14ac:dyDescent="0.25">
      <c r="A53" s="18"/>
      <c r="B53" s="18"/>
      <c r="C53" s="18" t="s">
        <v>454</v>
      </c>
      <c r="D53" s="18"/>
      <c r="E53" s="18"/>
      <c r="F53" s="17">
        <f>ROUND(SUM(F27:F52),5)</f>
        <v>3082586.55</v>
      </c>
    </row>
    <row r="54" spans="1:6" ht="13.5" thickBot="1" x14ac:dyDescent="0.25">
      <c r="A54" s="18"/>
      <c r="B54" s="18" t="s">
        <v>374</v>
      </c>
      <c r="C54" s="18"/>
      <c r="D54" s="18"/>
      <c r="E54" s="18"/>
      <c r="F54" s="17">
        <f>ROUND(F26+F53,5)</f>
        <v>3082586.55</v>
      </c>
    </row>
    <row r="55" spans="1:6" ht="13.5" thickBot="1" x14ac:dyDescent="0.25">
      <c r="A55" s="18" t="s">
        <v>375</v>
      </c>
      <c r="B55" s="18"/>
      <c r="C55" s="18"/>
      <c r="D55" s="18"/>
      <c r="E55" s="18"/>
      <c r="F55" s="19">
        <f>ROUND(F6+F17+F25+F54,5)</f>
        <v>5215473.6900000004</v>
      </c>
    </row>
    <row r="56" spans="1:6" ht="13.5" thickTop="1" x14ac:dyDescent="0.2">
      <c r="A56" s="18" t="s">
        <v>376</v>
      </c>
      <c r="B56" s="18"/>
      <c r="C56" s="18"/>
      <c r="D56" s="18"/>
      <c r="E56" s="18"/>
      <c r="F56" s="13"/>
    </row>
    <row r="57" spans="1:6" x14ac:dyDescent="0.2">
      <c r="A57" s="18"/>
      <c r="B57" s="18" t="s">
        <v>105</v>
      </c>
      <c r="C57" s="18"/>
      <c r="D57" s="18"/>
      <c r="E57" s="18"/>
      <c r="F57" s="13"/>
    </row>
    <row r="58" spans="1:6" x14ac:dyDescent="0.2">
      <c r="A58" s="18"/>
      <c r="B58" s="18"/>
      <c r="C58" s="18" t="s">
        <v>106</v>
      </c>
      <c r="D58" s="18"/>
      <c r="E58" s="18"/>
      <c r="F58" s="13"/>
    </row>
    <row r="59" spans="1:6" x14ac:dyDescent="0.2">
      <c r="A59" s="18"/>
      <c r="B59" s="18"/>
      <c r="C59" s="18"/>
      <c r="D59" s="18" t="s">
        <v>377</v>
      </c>
      <c r="E59" s="18"/>
      <c r="F59" s="13"/>
    </row>
    <row r="60" spans="1:6" x14ac:dyDescent="0.2">
      <c r="A60" s="18"/>
      <c r="B60" s="18"/>
      <c r="C60" s="18"/>
      <c r="D60" s="18"/>
      <c r="E60" s="18" t="s">
        <v>478</v>
      </c>
      <c r="F60" s="13">
        <v>1240</v>
      </c>
    </row>
    <row r="61" spans="1:6" ht="13.5" thickBot="1" x14ac:dyDescent="0.25">
      <c r="A61" s="18"/>
      <c r="B61" s="18"/>
      <c r="C61" s="18"/>
      <c r="D61" s="18"/>
      <c r="E61" s="18" t="s">
        <v>459</v>
      </c>
      <c r="F61" s="13">
        <v>90397.65</v>
      </c>
    </row>
    <row r="62" spans="1:6" ht="13.5" thickBot="1" x14ac:dyDescent="0.25">
      <c r="A62" s="18"/>
      <c r="B62" s="18"/>
      <c r="C62" s="18"/>
      <c r="D62" s="18" t="s">
        <v>387</v>
      </c>
      <c r="E62" s="18"/>
      <c r="F62" s="16">
        <f>ROUND(SUM(F59:F61),5)</f>
        <v>91637.65</v>
      </c>
    </row>
    <row r="63" spans="1:6" x14ac:dyDescent="0.2">
      <c r="A63" s="18"/>
      <c r="B63" s="18"/>
      <c r="C63" s="18" t="s">
        <v>388</v>
      </c>
      <c r="D63" s="18"/>
      <c r="E63" s="18"/>
      <c r="F63" s="13">
        <f>ROUND(F58+F62,5)</f>
        <v>91637.65</v>
      </c>
    </row>
    <row r="64" spans="1:6" x14ac:dyDescent="0.2">
      <c r="A64" s="18"/>
      <c r="B64" s="18"/>
      <c r="C64" s="18" t="s">
        <v>150</v>
      </c>
      <c r="D64" s="18"/>
      <c r="E64" s="18"/>
      <c r="F64" s="13"/>
    </row>
    <row r="65" spans="1:6" ht="13.5" thickBot="1" x14ac:dyDescent="0.25">
      <c r="A65" s="18"/>
      <c r="B65" s="18"/>
      <c r="C65" s="18"/>
      <c r="D65" s="18" t="s">
        <v>461</v>
      </c>
      <c r="E65" s="18"/>
      <c r="F65" s="15">
        <v>247750</v>
      </c>
    </row>
    <row r="66" spans="1:6" ht="13.5" thickBot="1" x14ac:dyDescent="0.25">
      <c r="A66" s="18"/>
      <c r="B66" s="18"/>
      <c r="C66" s="18" t="s">
        <v>323</v>
      </c>
      <c r="D66" s="18"/>
      <c r="E66" s="18"/>
      <c r="F66" s="16">
        <f>ROUND(SUM(F64:F65),5)</f>
        <v>247750</v>
      </c>
    </row>
    <row r="67" spans="1:6" x14ac:dyDescent="0.2">
      <c r="A67" s="18"/>
      <c r="B67" s="18" t="s">
        <v>324</v>
      </c>
      <c r="C67" s="18"/>
      <c r="D67" s="18"/>
      <c r="E67" s="18"/>
      <c r="F67" s="13">
        <f>ROUND(F57+F63+F66,5)</f>
        <v>339387.65</v>
      </c>
    </row>
    <row r="68" spans="1:6" x14ac:dyDescent="0.2">
      <c r="A68" s="18"/>
      <c r="B68" s="18" t="s">
        <v>161</v>
      </c>
      <c r="C68" s="18"/>
      <c r="D68" s="18"/>
      <c r="E68" s="18"/>
      <c r="F68" s="13"/>
    </row>
    <row r="69" spans="1:6" x14ac:dyDescent="0.2">
      <c r="A69" s="18"/>
      <c r="B69" s="18"/>
      <c r="C69" s="18" t="s">
        <v>462</v>
      </c>
      <c r="D69" s="18"/>
      <c r="E69" s="18"/>
      <c r="F69" s="13"/>
    </row>
    <row r="70" spans="1:6" x14ac:dyDescent="0.2">
      <c r="A70" s="18"/>
      <c r="B70" s="18"/>
      <c r="C70" s="18"/>
      <c r="D70" s="18" t="s">
        <v>463</v>
      </c>
      <c r="E70" s="18"/>
      <c r="F70" s="13">
        <v>-46332</v>
      </c>
    </row>
    <row r="71" spans="1:6" x14ac:dyDescent="0.2">
      <c r="A71" s="18"/>
      <c r="B71" s="18"/>
      <c r="C71" s="18"/>
      <c r="D71" s="18" t="s">
        <v>464</v>
      </c>
      <c r="E71" s="18"/>
      <c r="F71" s="13">
        <v>-46332</v>
      </c>
    </row>
    <row r="72" spans="1:6" x14ac:dyDescent="0.2">
      <c r="A72" s="18"/>
      <c r="B72" s="18"/>
      <c r="C72" s="18"/>
      <c r="D72" s="18" t="s">
        <v>465</v>
      </c>
      <c r="E72" s="18"/>
      <c r="F72" s="13">
        <v>-46332</v>
      </c>
    </row>
    <row r="73" spans="1:6" x14ac:dyDescent="0.2">
      <c r="A73" s="18"/>
      <c r="B73" s="18"/>
      <c r="C73" s="18"/>
      <c r="D73" s="18" t="s">
        <v>466</v>
      </c>
      <c r="E73" s="18"/>
      <c r="F73" s="13">
        <v>-702</v>
      </c>
    </row>
    <row r="74" spans="1:6" ht="13.5" thickBot="1" x14ac:dyDescent="0.25">
      <c r="A74" s="18"/>
      <c r="B74" s="18"/>
      <c r="C74" s="18"/>
      <c r="D74" s="18" t="s">
        <v>467</v>
      </c>
      <c r="E74" s="18"/>
      <c r="F74" s="103">
        <v>-702</v>
      </c>
    </row>
    <row r="75" spans="1:6" x14ac:dyDescent="0.2">
      <c r="A75" s="18"/>
      <c r="B75" s="18"/>
      <c r="C75" s="18" t="s">
        <v>468</v>
      </c>
      <c r="D75" s="18"/>
      <c r="E75" s="18"/>
      <c r="F75" s="13">
        <f>ROUND(SUM(F69:F74),5)</f>
        <v>-140400</v>
      </c>
    </row>
    <row r="76" spans="1:6" x14ac:dyDescent="0.2">
      <c r="A76" s="18"/>
      <c r="B76" s="18"/>
      <c r="C76" s="18" t="s">
        <v>469</v>
      </c>
      <c r="D76" s="18"/>
      <c r="E76" s="18"/>
      <c r="F76" s="13"/>
    </row>
    <row r="77" spans="1:6" x14ac:dyDescent="0.2">
      <c r="A77" s="18"/>
      <c r="B77" s="18"/>
      <c r="C77" s="18"/>
      <c r="D77" s="18" t="s">
        <v>470</v>
      </c>
      <c r="E77" s="18"/>
      <c r="F77" s="13">
        <v>1188404.69</v>
      </c>
    </row>
    <row r="78" spans="1:6" x14ac:dyDescent="0.2">
      <c r="A78" s="18"/>
      <c r="B78" s="18"/>
      <c r="C78" s="18"/>
      <c r="D78" s="18" t="s">
        <v>471</v>
      </c>
      <c r="E78" s="18"/>
      <c r="F78" s="13">
        <v>1188404.69</v>
      </c>
    </row>
    <row r="79" spans="1:6" x14ac:dyDescent="0.2">
      <c r="A79" s="18"/>
      <c r="B79" s="18"/>
      <c r="C79" s="18"/>
      <c r="D79" s="18" t="s">
        <v>472</v>
      </c>
      <c r="E79" s="18"/>
      <c r="F79" s="13">
        <v>1188404.69</v>
      </c>
    </row>
    <row r="80" spans="1:6" x14ac:dyDescent="0.2">
      <c r="A80" s="18"/>
      <c r="B80" s="18"/>
      <c r="C80" s="18"/>
      <c r="D80" s="18" t="s">
        <v>473</v>
      </c>
      <c r="E80" s="18"/>
      <c r="F80" s="13">
        <v>17999.080000000002</v>
      </c>
    </row>
    <row r="81" spans="1:6" ht="13.5" thickBot="1" x14ac:dyDescent="0.25">
      <c r="A81" s="18"/>
      <c r="B81" s="18"/>
      <c r="C81" s="18"/>
      <c r="D81" s="18" t="s">
        <v>474</v>
      </c>
      <c r="E81" s="18"/>
      <c r="F81" s="103">
        <v>16607.46</v>
      </c>
    </row>
    <row r="82" spans="1:6" x14ac:dyDescent="0.2">
      <c r="A82" s="18"/>
      <c r="B82" s="18"/>
      <c r="C82" s="18" t="s">
        <v>475</v>
      </c>
      <c r="D82" s="18"/>
      <c r="E82" s="18"/>
      <c r="F82" s="13">
        <f>ROUND(SUM(F76:F81),5)</f>
        <v>3599820.61</v>
      </c>
    </row>
    <row r="83" spans="1:6" x14ac:dyDescent="0.2">
      <c r="A83" s="18"/>
      <c r="B83" s="18"/>
      <c r="C83" s="18" t="s">
        <v>476</v>
      </c>
      <c r="D83" s="18"/>
      <c r="E83" s="18"/>
      <c r="F83" s="13">
        <v>1200000</v>
      </c>
    </row>
    <row r="84" spans="1:6" x14ac:dyDescent="0.2">
      <c r="A84" s="18"/>
      <c r="B84" s="18"/>
      <c r="C84" s="18" t="s">
        <v>595</v>
      </c>
      <c r="D84" s="18"/>
      <c r="E84" s="18"/>
      <c r="F84" s="13"/>
    </row>
    <row r="85" spans="1:6" x14ac:dyDescent="0.2">
      <c r="A85" s="18"/>
      <c r="B85" s="18"/>
      <c r="C85" s="18"/>
      <c r="D85" s="18" t="s">
        <v>596</v>
      </c>
      <c r="E85" s="18"/>
      <c r="F85" s="13">
        <v>-15000</v>
      </c>
    </row>
    <row r="86" spans="1:6" x14ac:dyDescent="0.2">
      <c r="A86" s="18"/>
      <c r="B86" s="18"/>
      <c r="C86" s="18"/>
      <c r="D86" s="18" t="s">
        <v>597</v>
      </c>
      <c r="E86" s="18"/>
      <c r="F86" s="13">
        <v>-15000</v>
      </c>
    </row>
    <row r="87" spans="1:6" x14ac:dyDescent="0.2">
      <c r="A87" s="18"/>
      <c r="B87" s="18"/>
      <c r="C87" s="18"/>
      <c r="D87" s="18" t="s">
        <v>598</v>
      </c>
      <c r="E87" s="18"/>
      <c r="F87" s="13">
        <v>-15000</v>
      </c>
    </row>
    <row r="88" spans="1:6" x14ac:dyDescent="0.2">
      <c r="A88" s="18"/>
      <c r="B88" s="18"/>
      <c r="C88" s="18" t="s">
        <v>477</v>
      </c>
      <c r="D88" s="18"/>
      <c r="E88" s="18"/>
      <c r="F88" s="13">
        <v>102973.5</v>
      </c>
    </row>
    <row r="89" spans="1:6" ht="13.5" thickBot="1" x14ac:dyDescent="0.25">
      <c r="A89" s="18"/>
      <c r="B89" s="18"/>
      <c r="C89" s="18" t="s">
        <v>393</v>
      </c>
      <c r="D89" s="18"/>
      <c r="E89" s="18"/>
      <c r="F89" s="15">
        <v>158691.93</v>
      </c>
    </row>
    <row r="90" spans="1:6" ht="13.5" thickBot="1" x14ac:dyDescent="0.25">
      <c r="A90" s="18"/>
      <c r="B90" s="18" t="s">
        <v>335</v>
      </c>
      <c r="C90" s="18"/>
      <c r="D90" s="18"/>
      <c r="E90" s="18"/>
      <c r="F90" s="17">
        <f>ROUND(F68+F75+SUM(F82:F89),5)</f>
        <v>4876086.04</v>
      </c>
    </row>
    <row r="91" spans="1:6" ht="13.5" thickBot="1" x14ac:dyDescent="0.25">
      <c r="A91" s="18" t="s">
        <v>394</v>
      </c>
      <c r="B91" s="18"/>
      <c r="C91" s="18"/>
      <c r="D91" s="18"/>
      <c r="E91" s="18"/>
      <c r="F91" s="19">
        <f>ROUND(F56+F67+F90,5)</f>
        <v>5215473.6900000004</v>
      </c>
    </row>
    <row r="92" spans="1:6" ht="13.5" thickTop="1" x14ac:dyDescent="0.2">
      <c r="A92" s="100"/>
      <c r="B92" s="100"/>
      <c r="C92" s="100"/>
      <c r="D92" s="100"/>
      <c r="E92" s="100"/>
      <c r="F92" s="22"/>
    </row>
    <row r="93" spans="1:6" x14ac:dyDescent="0.2">
      <c r="A93" s="100"/>
      <c r="B93" s="100"/>
      <c r="C93" s="100"/>
      <c r="D93" s="100"/>
      <c r="E93" s="100"/>
      <c r="F93" s="125">
        <f>F91-F55</f>
        <v>0</v>
      </c>
    </row>
    <row r="94" spans="1:6" x14ac:dyDescent="0.2">
      <c r="A94" s="100"/>
      <c r="B94" s="100"/>
      <c r="C94" s="100"/>
      <c r="D94" s="100"/>
      <c r="E94" s="100"/>
      <c r="F94" s="22"/>
    </row>
    <row r="95" spans="1:6" x14ac:dyDescent="0.2">
      <c r="A95" s="100"/>
      <c r="B95" s="100"/>
      <c r="C95" s="100"/>
      <c r="D95" s="100"/>
      <c r="E95" s="100"/>
      <c r="F95" s="22"/>
    </row>
    <row r="96" spans="1:6" x14ac:dyDescent="0.2">
      <c r="A96" s="100"/>
      <c r="B96" s="100"/>
      <c r="C96" s="100"/>
      <c r="D96" s="100"/>
      <c r="E96" s="100"/>
      <c r="F96" s="22"/>
    </row>
    <row r="97" spans="1:6" x14ac:dyDescent="0.2">
      <c r="A97" s="100"/>
      <c r="B97" s="100"/>
      <c r="C97" s="100"/>
      <c r="D97" s="100"/>
      <c r="E97" s="100"/>
      <c r="F97" s="22"/>
    </row>
    <row r="98" spans="1:6" x14ac:dyDescent="0.2">
      <c r="A98" s="100"/>
      <c r="B98" s="100"/>
      <c r="C98" s="100"/>
      <c r="D98" s="100"/>
      <c r="E98" s="100"/>
      <c r="F98" s="22"/>
    </row>
    <row r="99" spans="1:6" x14ac:dyDescent="0.2">
      <c r="A99" s="100"/>
      <c r="B99" s="100"/>
      <c r="C99" s="100"/>
      <c r="D99" s="100"/>
      <c r="E99" s="100"/>
      <c r="F99" s="22"/>
    </row>
    <row r="100" spans="1:6" x14ac:dyDescent="0.2">
      <c r="A100" s="100"/>
      <c r="B100" s="100"/>
      <c r="C100" s="100"/>
      <c r="D100" s="100"/>
      <c r="E100" s="100"/>
      <c r="F100" s="22"/>
    </row>
    <row r="101" spans="1:6" x14ac:dyDescent="0.2">
      <c r="A101" s="100"/>
      <c r="B101" s="100"/>
      <c r="C101" s="100"/>
      <c r="D101" s="100"/>
      <c r="E101" s="100"/>
      <c r="F101" s="22"/>
    </row>
    <row r="102" spans="1:6" x14ac:dyDescent="0.2">
      <c r="A102" s="100"/>
      <c r="B102" s="100"/>
      <c r="C102" s="100"/>
      <c r="D102" s="100"/>
      <c r="E102" s="100"/>
      <c r="F102" s="22"/>
    </row>
    <row r="103" spans="1:6" x14ac:dyDescent="0.2">
      <c r="A103" s="100"/>
      <c r="B103" s="100"/>
      <c r="C103" s="100"/>
      <c r="D103" s="100"/>
      <c r="E103" s="100"/>
      <c r="F103" s="22"/>
    </row>
    <row r="104" spans="1:6" x14ac:dyDescent="0.2">
      <c r="A104" s="100"/>
      <c r="B104" s="100"/>
      <c r="C104" s="100"/>
      <c r="D104" s="100"/>
      <c r="E104" s="100"/>
      <c r="F104" s="22"/>
    </row>
    <row r="105" spans="1:6" x14ac:dyDescent="0.2">
      <c r="A105" s="100"/>
      <c r="B105" s="100"/>
      <c r="C105" s="100"/>
      <c r="D105" s="100"/>
      <c r="E105" s="100"/>
      <c r="F105" s="22"/>
    </row>
    <row r="106" spans="1:6" x14ac:dyDescent="0.2">
      <c r="A106" s="100"/>
      <c r="B106" s="100"/>
      <c r="C106" s="100"/>
      <c r="D106" s="100"/>
      <c r="E106" s="100"/>
      <c r="F106" s="22"/>
    </row>
    <row r="107" spans="1:6" x14ac:dyDescent="0.2">
      <c r="A107" s="100"/>
      <c r="B107" s="100"/>
      <c r="C107" s="100"/>
      <c r="D107" s="100"/>
      <c r="E107" s="100"/>
      <c r="F107" s="22"/>
    </row>
    <row r="108" spans="1:6" x14ac:dyDescent="0.2">
      <c r="A108" s="100"/>
      <c r="B108" s="100"/>
      <c r="C108" s="100"/>
      <c r="D108" s="100"/>
      <c r="E108" s="100"/>
      <c r="F108" s="22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2:S57"/>
  <sheetViews>
    <sheetView topLeftCell="A9" zoomScaleNormal="100" workbookViewId="0">
      <selection activeCell="O46" sqref="O46"/>
    </sheetView>
  </sheetViews>
  <sheetFormatPr defaultRowHeight="12.75" x14ac:dyDescent="0.2"/>
  <cols>
    <col min="1" max="2" width="2.28515625" style="100" customWidth="1"/>
    <col min="3" max="3" width="29.140625" style="100" bestFit="1" customWidth="1"/>
    <col min="4" max="4" width="2.28515625" style="100" customWidth="1"/>
    <col min="5" max="5" width="12.28515625" style="22" bestFit="1" customWidth="1"/>
  </cols>
  <sheetData>
    <row r="2" spans="1:19" x14ac:dyDescent="0.2">
      <c r="B2" s="185" t="s">
        <v>508</v>
      </c>
      <c r="C2" s="185"/>
      <c r="D2" s="185"/>
      <c r="E2" s="185"/>
    </row>
    <row r="3" spans="1:19" x14ac:dyDescent="0.2">
      <c r="B3" s="185"/>
      <c r="C3" s="185"/>
      <c r="D3" s="185"/>
      <c r="E3" s="185"/>
    </row>
    <row r="5" spans="1:19" ht="13.5" thickBot="1" x14ac:dyDescent="0.25">
      <c r="A5" s="101"/>
      <c r="B5" s="101"/>
      <c r="C5" s="101"/>
      <c r="D5" s="101"/>
      <c r="E5" s="102" t="s">
        <v>588</v>
      </c>
    </row>
    <row r="6" spans="1:19" ht="13.5" thickTop="1" x14ac:dyDescent="0.2">
      <c r="A6" s="18" t="s">
        <v>341</v>
      </c>
      <c r="B6" s="18"/>
      <c r="C6" s="18"/>
      <c r="D6" s="18"/>
      <c r="E6" s="13"/>
    </row>
    <row r="7" spans="1:19" x14ac:dyDescent="0.2">
      <c r="A7" s="18"/>
      <c r="B7" s="18" t="s">
        <v>3</v>
      </c>
      <c r="C7" s="18"/>
      <c r="D7" s="18"/>
      <c r="E7" s="13"/>
    </row>
    <row r="8" spans="1:19" x14ac:dyDescent="0.2">
      <c r="A8" s="18"/>
      <c r="B8" s="18"/>
      <c r="C8" s="18" t="s">
        <v>342</v>
      </c>
      <c r="D8" s="18"/>
      <c r="E8" s="13"/>
    </row>
    <row r="9" spans="1:19" ht="13.5" thickBot="1" x14ac:dyDescent="0.25">
      <c r="A9" s="18"/>
      <c r="B9" s="18"/>
      <c r="C9" s="18" t="s">
        <v>487</v>
      </c>
      <c r="E9" s="15">
        <v>182407.86</v>
      </c>
      <c r="S9">
        <v>0</v>
      </c>
    </row>
    <row r="10" spans="1:19" ht="13.5" thickBot="1" x14ac:dyDescent="0.25">
      <c r="A10" s="18"/>
      <c r="B10" s="18"/>
      <c r="C10" s="18" t="s">
        <v>346</v>
      </c>
      <c r="D10" s="18"/>
      <c r="E10" s="16">
        <f>ROUND(SUM(E8:E9),5)</f>
        <v>182407.86</v>
      </c>
      <c r="S10">
        <v>0</v>
      </c>
    </row>
    <row r="11" spans="1:19" x14ac:dyDescent="0.2">
      <c r="A11" s="18"/>
      <c r="B11" s="18"/>
      <c r="C11" s="18"/>
      <c r="D11" s="18"/>
      <c r="E11" s="15"/>
    </row>
    <row r="12" spans="1:19" x14ac:dyDescent="0.2">
      <c r="A12" s="18"/>
      <c r="B12" s="18"/>
      <c r="C12" s="18" t="s">
        <v>557</v>
      </c>
      <c r="D12" s="18"/>
      <c r="E12" s="13"/>
    </row>
    <row r="13" spans="1:19" x14ac:dyDescent="0.2">
      <c r="A13" s="18"/>
      <c r="B13" s="18"/>
      <c r="C13" s="18" t="s">
        <v>558</v>
      </c>
      <c r="E13" s="15">
        <v>25000</v>
      </c>
    </row>
    <row r="14" spans="1:19" ht="13.5" thickBot="1" x14ac:dyDescent="0.25">
      <c r="A14" s="18"/>
      <c r="B14" s="18"/>
      <c r="C14" s="18" t="s">
        <v>578</v>
      </c>
      <c r="E14" s="15">
        <v>7500</v>
      </c>
      <c r="G14" t="s">
        <v>579</v>
      </c>
    </row>
    <row r="15" spans="1:19" ht="13.5" thickBot="1" x14ac:dyDescent="0.25">
      <c r="A15" s="18"/>
      <c r="B15" s="18"/>
      <c r="C15" s="18" t="s">
        <v>346</v>
      </c>
      <c r="D15" s="18"/>
      <c r="E15" s="16">
        <f>ROUND(SUM(E13:E14),5)</f>
        <v>32500</v>
      </c>
    </row>
    <row r="16" spans="1:19" x14ac:dyDescent="0.2">
      <c r="A16" s="18"/>
      <c r="B16" s="18"/>
      <c r="C16" s="18"/>
      <c r="D16" s="18"/>
      <c r="E16" s="15"/>
    </row>
    <row r="17" spans="1:5" x14ac:dyDescent="0.2">
      <c r="A17" s="18"/>
      <c r="B17" s="18" t="s">
        <v>277</v>
      </c>
      <c r="C17" s="18"/>
      <c r="D17" s="18"/>
      <c r="E17" s="13">
        <f>E10+E15</f>
        <v>214907.86</v>
      </c>
    </row>
    <row r="18" spans="1:5" x14ac:dyDescent="0.2">
      <c r="A18" s="18"/>
      <c r="B18" s="18" t="s">
        <v>347</v>
      </c>
      <c r="C18" s="18"/>
      <c r="D18" s="18"/>
      <c r="E18" s="13"/>
    </row>
    <row r="19" spans="1:5" x14ac:dyDescent="0.2">
      <c r="A19" s="18"/>
      <c r="B19" s="18"/>
      <c r="C19" s="18" t="s">
        <v>488</v>
      </c>
      <c r="D19" s="18"/>
      <c r="E19" s="13">
        <v>-767623.14</v>
      </c>
    </row>
    <row r="20" spans="1:5" x14ac:dyDescent="0.2">
      <c r="A20" s="18"/>
      <c r="B20" s="18"/>
      <c r="C20" s="18" t="s">
        <v>489</v>
      </c>
      <c r="D20" s="18"/>
      <c r="E20" s="13">
        <v>-9113.64</v>
      </c>
    </row>
    <row r="21" spans="1:5" x14ac:dyDescent="0.2">
      <c r="A21" s="18"/>
      <c r="B21" s="18"/>
      <c r="C21" s="18" t="s">
        <v>490</v>
      </c>
      <c r="D21" s="18"/>
      <c r="E21" s="13">
        <v>-113340.5</v>
      </c>
    </row>
    <row r="22" spans="1:5" x14ac:dyDescent="0.2">
      <c r="A22" s="18"/>
      <c r="B22" s="18"/>
      <c r="C22" s="18" t="s">
        <v>491</v>
      </c>
      <c r="D22" s="18"/>
      <c r="E22" s="13">
        <v>-171325</v>
      </c>
    </row>
    <row r="23" spans="1:5" x14ac:dyDescent="0.2">
      <c r="A23" s="18"/>
      <c r="B23" s="18"/>
      <c r="C23" s="18" t="s">
        <v>492</v>
      </c>
      <c r="D23" s="18"/>
      <c r="E23" s="13">
        <v>6476081.7699999996</v>
      </c>
    </row>
    <row r="24" spans="1:5" x14ac:dyDescent="0.2">
      <c r="A24" s="18"/>
      <c r="B24" s="18"/>
      <c r="C24" s="18" t="s">
        <v>493</v>
      </c>
      <c r="D24" s="18"/>
      <c r="E24" s="13">
        <v>9394.19</v>
      </c>
    </row>
    <row r="25" spans="1:5" x14ac:dyDescent="0.2">
      <c r="A25" s="18"/>
      <c r="B25" s="18"/>
      <c r="C25" s="18" t="s">
        <v>494</v>
      </c>
      <c r="D25" s="18"/>
      <c r="E25" s="13">
        <v>1898482.76</v>
      </c>
    </row>
    <row r="26" spans="1:5" x14ac:dyDescent="0.2">
      <c r="A26" s="18"/>
      <c r="B26" s="18"/>
      <c r="C26" s="18" t="s">
        <v>495</v>
      </c>
      <c r="D26" s="18"/>
      <c r="E26" s="13">
        <v>152311.53</v>
      </c>
    </row>
    <row r="27" spans="1:5" x14ac:dyDescent="0.2">
      <c r="A27" s="18"/>
      <c r="B27" s="18"/>
      <c r="C27" s="18" t="s">
        <v>496</v>
      </c>
      <c r="D27" s="18"/>
      <c r="E27" s="15">
        <v>230237.91</v>
      </c>
    </row>
    <row r="28" spans="1:5" ht="13.5" thickBot="1" x14ac:dyDescent="0.25">
      <c r="A28" s="18"/>
      <c r="B28" s="18"/>
      <c r="C28" s="18" t="s">
        <v>593</v>
      </c>
      <c r="D28" s="18"/>
      <c r="E28" s="15">
        <v>332498</v>
      </c>
    </row>
    <row r="29" spans="1:5" ht="13.5" thickBot="1" x14ac:dyDescent="0.25">
      <c r="A29" s="18"/>
      <c r="B29" s="18" t="s">
        <v>372</v>
      </c>
      <c r="C29" s="18"/>
      <c r="D29" s="18"/>
      <c r="E29" s="17">
        <f>ROUND(SUM(E18:E28),5)</f>
        <v>8037603.8799999999</v>
      </c>
    </row>
    <row r="30" spans="1:5" ht="13.5" thickBot="1" x14ac:dyDescent="0.25">
      <c r="A30" s="18" t="s">
        <v>375</v>
      </c>
      <c r="B30" s="18"/>
      <c r="C30" s="18"/>
      <c r="D30" s="18"/>
      <c r="E30" s="19">
        <f>ROUND(E6+E17+E29,5)</f>
        <v>8252511.7400000002</v>
      </c>
    </row>
    <row r="31" spans="1:5" ht="13.5" thickTop="1" x14ac:dyDescent="0.2">
      <c r="A31" s="18" t="s">
        <v>376</v>
      </c>
      <c r="B31" s="18"/>
      <c r="C31" s="18"/>
      <c r="D31" s="18"/>
      <c r="E31" s="13"/>
    </row>
    <row r="32" spans="1:5" x14ac:dyDescent="0.2">
      <c r="A32" s="18"/>
      <c r="B32" s="18" t="s">
        <v>105</v>
      </c>
      <c r="C32" s="18"/>
      <c r="D32" s="18"/>
      <c r="E32" s="13"/>
    </row>
    <row r="33" spans="1:5" x14ac:dyDescent="0.2">
      <c r="A33" s="18"/>
      <c r="B33" s="18"/>
      <c r="C33" s="18" t="s">
        <v>106</v>
      </c>
      <c r="D33" s="18"/>
      <c r="E33" s="13"/>
    </row>
    <row r="34" spans="1:5" x14ac:dyDescent="0.2">
      <c r="A34" s="18"/>
      <c r="B34" s="18"/>
      <c r="C34" s="18" t="s">
        <v>377</v>
      </c>
      <c r="D34" s="18"/>
      <c r="E34" s="13"/>
    </row>
    <row r="35" spans="1:5" x14ac:dyDescent="0.2">
      <c r="A35" s="18"/>
      <c r="B35" s="18"/>
      <c r="C35" s="18" t="s">
        <v>497</v>
      </c>
      <c r="E35" s="13">
        <v>15976.21</v>
      </c>
    </row>
    <row r="36" spans="1:5" x14ac:dyDescent="0.2">
      <c r="A36" s="18"/>
      <c r="B36" s="18"/>
      <c r="C36" s="18" t="s">
        <v>594</v>
      </c>
      <c r="E36" s="15">
        <v>2950</v>
      </c>
    </row>
    <row r="37" spans="1:5" ht="13.5" thickBot="1" x14ac:dyDescent="0.25">
      <c r="A37" s="18"/>
      <c r="B37" s="18"/>
      <c r="C37" s="18" t="s">
        <v>498</v>
      </c>
      <c r="E37" s="15">
        <v>250638.89</v>
      </c>
    </row>
    <row r="38" spans="1:5" ht="13.5" thickBot="1" x14ac:dyDescent="0.25">
      <c r="A38" s="18"/>
      <c r="B38" s="18"/>
      <c r="C38" s="18" t="s">
        <v>387</v>
      </c>
      <c r="D38" s="18"/>
      <c r="E38" s="16">
        <f>ROUND(SUM(E34:E37),5)</f>
        <v>269565.09999999998</v>
      </c>
    </row>
    <row r="39" spans="1:5" x14ac:dyDescent="0.2">
      <c r="A39" s="18"/>
      <c r="B39" s="18"/>
      <c r="C39" s="18" t="s">
        <v>388</v>
      </c>
      <c r="D39" s="18"/>
      <c r="E39" s="13">
        <f>ROUND(E33+E38,5)</f>
        <v>269565.09999999998</v>
      </c>
    </row>
    <row r="40" spans="1:5" x14ac:dyDescent="0.2">
      <c r="A40" s="18"/>
      <c r="B40" s="18"/>
      <c r="C40" s="18" t="s">
        <v>150</v>
      </c>
      <c r="D40" s="18"/>
      <c r="E40" s="13"/>
    </row>
    <row r="41" spans="1:5" x14ac:dyDescent="0.2">
      <c r="A41" s="18"/>
      <c r="B41" s="18"/>
      <c r="C41" s="18" t="s">
        <v>499</v>
      </c>
      <c r="D41" s="18"/>
      <c r="E41" s="13">
        <v>819709.5</v>
      </c>
    </row>
    <row r="42" spans="1:5" x14ac:dyDescent="0.2">
      <c r="A42" s="18"/>
      <c r="B42" s="18"/>
      <c r="C42" s="18" t="s">
        <v>500</v>
      </c>
      <c r="D42" s="18"/>
      <c r="E42" s="13">
        <v>825953</v>
      </c>
    </row>
    <row r="43" spans="1:5" x14ac:dyDescent="0.2">
      <c r="A43" s="18"/>
      <c r="B43" s="18"/>
      <c r="C43" s="18" t="s">
        <v>501</v>
      </c>
      <c r="D43" s="18"/>
      <c r="E43" s="13">
        <v>656846.65</v>
      </c>
    </row>
    <row r="44" spans="1:5" ht="13.5" thickBot="1" x14ac:dyDescent="0.25">
      <c r="A44" s="18"/>
      <c r="B44" s="18"/>
      <c r="C44" s="18" t="s">
        <v>502</v>
      </c>
      <c r="D44" s="18"/>
      <c r="E44" s="15">
        <v>3563493</v>
      </c>
    </row>
    <row r="45" spans="1:5" ht="13.5" thickBot="1" x14ac:dyDescent="0.25">
      <c r="A45" s="18"/>
      <c r="B45" s="18"/>
      <c r="C45" s="18" t="s">
        <v>323</v>
      </c>
      <c r="D45" s="18"/>
      <c r="E45" s="16">
        <f>ROUND(SUM(E40:E44),5)</f>
        <v>5866002.1500000004</v>
      </c>
    </row>
    <row r="46" spans="1:5" x14ac:dyDescent="0.2">
      <c r="A46" s="18"/>
      <c r="B46" s="18" t="s">
        <v>324</v>
      </c>
      <c r="C46" s="18"/>
      <c r="D46" s="18"/>
      <c r="E46" s="13">
        <f>ROUND(E32+E39+E45,5)</f>
        <v>6135567.25</v>
      </c>
    </row>
    <row r="47" spans="1:5" x14ac:dyDescent="0.2">
      <c r="A47" s="18"/>
      <c r="B47" s="18" t="s">
        <v>161</v>
      </c>
      <c r="C47" s="18"/>
      <c r="D47" s="18"/>
      <c r="E47" s="13"/>
    </row>
    <row r="48" spans="1:5" x14ac:dyDescent="0.2">
      <c r="A48" s="18"/>
      <c r="B48" s="18"/>
      <c r="C48" s="18" t="s">
        <v>503</v>
      </c>
      <c r="D48" s="18"/>
      <c r="E48" s="13">
        <v>672128</v>
      </c>
    </row>
    <row r="49" spans="1:5" x14ac:dyDescent="0.2">
      <c r="A49" s="18"/>
      <c r="B49" s="18"/>
      <c r="C49" s="18" t="s">
        <v>504</v>
      </c>
      <c r="D49" s="18"/>
      <c r="E49" s="13">
        <v>38348</v>
      </c>
    </row>
    <row r="50" spans="1:5" x14ac:dyDescent="0.2">
      <c r="A50" s="18"/>
      <c r="B50" s="18"/>
      <c r="C50" s="18" t="s">
        <v>505</v>
      </c>
      <c r="D50" s="18"/>
      <c r="E50" s="13">
        <v>38348</v>
      </c>
    </row>
    <row r="51" spans="1:5" x14ac:dyDescent="0.2">
      <c r="A51" s="18"/>
      <c r="B51" s="18"/>
      <c r="C51" s="18" t="s">
        <v>506</v>
      </c>
      <c r="D51" s="18"/>
      <c r="E51" s="13">
        <v>672128.77</v>
      </c>
    </row>
    <row r="52" spans="1:5" x14ac:dyDescent="0.2">
      <c r="A52" s="18"/>
      <c r="B52" s="18"/>
      <c r="C52" s="18" t="s">
        <v>507</v>
      </c>
      <c r="D52" s="18"/>
      <c r="E52" s="13">
        <v>672128.03</v>
      </c>
    </row>
    <row r="53" spans="1:5" ht="13.5" thickBot="1" x14ac:dyDescent="0.25">
      <c r="A53" s="18"/>
      <c r="B53" s="18"/>
      <c r="C53" s="18" t="s">
        <v>393</v>
      </c>
      <c r="D53" s="18"/>
      <c r="E53" s="15">
        <v>23863.69</v>
      </c>
    </row>
    <row r="54" spans="1:5" ht="13.5" thickBot="1" x14ac:dyDescent="0.25">
      <c r="A54" s="18"/>
      <c r="B54" s="18" t="s">
        <v>335</v>
      </c>
      <c r="C54" s="18"/>
      <c r="D54" s="18"/>
      <c r="E54" s="17">
        <f>ROUND(SUM(E47:E53),5)</f>
        <v>2116944.4900000002</v>
      </c>
    </row>
    <row r="55" spans="1:5" ht="13.5" thickBot="1" x14ac:dyDescent="0.25">
      <c r="A55" s="18" t="s">
        <v>394</v>
      </c>
      <c r="B55" s="18"/>
      <c r="C55" s="18"/>
      <c r="D55" s="18"/>
      <c r="E55" s="19">
        <f>ROUND(E31+E46+E54,5)</f>
        <v>8252511.7400000002</v>
      </c>
    </row>
    <row r="56" spans="1:5" ht="13.5" thickTop="1" x14ac:dyDescent="0.2"/>
    <row r="57" spans="1:5" x14ac:dyDescent="0.2">
      <c r="E57" s="125">
        <f>E30-E55</f>
        <v>0</v>
      </c>
    </row>
  </sheetData>
  <mergeCells count="1">
    <mergeCell ref="B2:E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10.31.17</vt:lpstr>
      <vt:lpstr>BPM 10.31.17</vt:lpstr>
      <vt:lpstr>DEP 10.31.17</vt:lpstr>
      <vt:lpstr>BSC 10.31.17</vt:lpstr>
      <vt:lpstr>Oliari Co 10.31.17</vt:lpstr>
      <vt:lpstr>722 Bedford St 10.31.17</vt:lpstr>
      <vt:lpstr>CNT Lending 10.31.17</vt:lpstr>
      <vt:lpstr>'722 Bedford St'!Print_Area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Accounting User</cp:lastModifiedBy>
  <cp:lastPrinted>2018-11-05T22:51:54Z</cp:lastPrinted>
  <dcterms:created xsi:type="dcterms:W3CDTF">2018-05-14T12:52:26Z</dcterms:created>
  <dcterms:modified xsi:type="dcterms:W3CDTF">2018-11-15T15:58:07Z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